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3121-911\Desktop\گزارش آزمایشگاه\"/>
    </mc:Choice>
  </mc:AlternateContent>
  <xr:revisionPtr revIDLastSave="0" documentId="13_ncr:1_{290B7B3F-6802-4EE6-A9AE-714C54354AAB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شن و ماسه" sheetId="10" r:id="rId1"/>
    <sheet name="محور ها" sheetId="11" r:id="rId2"/>
  </sheets>
  <externalReferences>
    <externalReference r:id="rId3"/>
  </externalReferences>
  <definedNames>
    <definedName name="A">#REF!</definedName>
    <definedName name="B">#REF!</definedName>
    <definedName name="_xlnm.Print_Area" localSheetId="0">'شن و ماسه'!$A$1:$Y$24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1" l="1"/>
  <c r="E2" i="11" l="1"/>
  <c r="E15" i="11" s="1"/>
  <c r="J17" i="10"/>
  <c r="J16" i="10"/>
  <c r="J15" i="10"/>
  <c r="J14" i="10"/>
  <c r="J13" i="10"/>
  <c r="J12" i="10"/>
  <c r="J11" i="10"/>
  <c r="J10" i="10"/>
  <c r="J9" i="10"/>
  <c r="J8" i="10"/>
  <c r="J7" i="10"/>
  <c r="J6" i="10"/>
  <c r="K6" i="10" s="1"/>
  <c r="F6" i="10" s="1"/>
  <c r="F20" i="10"/>
  <c r="I17" i="10" s="1"/>
  <c r="F9" i="11" l="1"/>
  <c r="E5" i="11"/>
  <c r="F5" i="11"/>
  <c r="F13" i="11"/>
  <c r="E12" i="11"/>
  <c r="F8" i="11"/>
  <c r="E4" i="11"/>
  <c r="F4" i="11"/>
  <c r="F12" i="11"/>
  <c r="E8" i="11"/>
  <c r="E9" i="11"/>
  <c r="E13" i="11"/>
  <c r="F6" i="11"/>
  <c r="F10" i="11"/>
  <c r="F14" i="11"/>
  <c r="E6" i="11"/>
  <c r="E10" i="11"/>
  <c r="E14" i="11"/>
  <c r="F7" i="11"/>
  <c r="F11" i="11"/>
  <c r="F15" i="11"/>
  <c r="E7" i="11"/>
  <c r="E11" i="11"/>
  <c r="I6" i="10"/>
  <c r="I10" i="10"/>
  <c r="I7" i="10"/>
  <c r="I15" i="10"/>
  <c r="I8" i="10"/>
  <c r="I12" i="10"/>
  <c r="I16" i="10"/>
  <c r="I14" i="10"/>
  <c r="I11" i="10"/>
  <c r="I9" i="10"/>
  <c r="I13" i="10"/>
  <c r="E6" i="10" l="1" a="1"/>
  <c r="D6" i="10" a="1"/>
  <c r="D6" i="10" s="1"/>
  <c r="C6" i="10" a="1"/>
  <c r="G6" i="10" a="1"/>
  <c r="G6" i="10" s="1"/>
  <c r="E6" i="10" l="1"/>
  <c r="C6" i="10"/>
  <c r="B6" i="10" s="1"/>
  <c r="B15" i="10" l="1"/>
  <c r="B17" i="10"/>
  <c r="B14" i="10"/>
  <c r="B7" i="10"/>
  <c r="B13" i="10"/>
  <c r="B16" i="10"/>
  <c r="B11" i="10"/>
  <c r="B12" i="10"/>
  <c r="K7" i="10"/>
  <c r="F7" i="10" s="1"/>
  <c r="B9" i="10"/>
  <c r="B8" i="10"/>
  <c r="B10" i="10"/>
  <c r="K8" i="10" l="1"/>
  <c r="F8" i="10" s="1"/>
  <c r="K9" i="10" l="1"/>
  <c r="F9" i="10" s="1"/>
  <c r="K10" i="10" l="1"/>
  <c r="F10" i="10" s="1"/>
  <c r="K11" i="10" l="1"/>
  <c r="F11" i="10" s="1"/>
  <c r="K12" i="10" l="1"/>
  <c r="F12" i="10" s="1"/>
  <c r="K13" i="10" l="1"/>
  <c r="F13" i="10" s="1"/>
  <c r="K14" i="10" l="1"/>
  <c r="F14" i="10" s="1"/>
  <c r="K15" i="10" l="1"/>
  <c r="F15" i="10" s="1"/>
  <c r="K16" i="10" l="1"/>
  <c r="F16" i="10" s="1"/>
  <c r="K17" i="10" l="1"/>
  <c r="F17" i="10" s="1"/>
  <c r="M2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3121-911</author>
  </authors>
  <commentList>
    <comment ref="M20" authorId="0" shapeId="0" xr:uid="{CC5D50B9-80BC-4A9E-8F47-9C8E02B5C82B}">
      <text>
        <r>
          <rPr>
            <b/>
            <sz val="9"/>
            <color indexed="81"/>
            <rFont val="Tahoma"/>
            <family val="2"/>
          </rPr>
          <t>بتن رده 2:
100=3/8# 
100-89=4#
100-60=8#
80-30=16#
50-15=30#
30-5=50#
10-2=100#
3-0=200#
بتن رده 1:
100=3/8#
100-95=4#
100-80=8#
85-50=16#
60-25=30#
30-5=50#
10-2=100#
3-0=200#</t>
        </r>
      </text>
    </comment>
    <comment ref="M21" authorId="0" shapeId="0" xr:uid="{2E8EC0B4-E519-4539-976E-9CA3E644C368}">
      <text>
        <r>
          <rPr>
            <b/>
            <sz val="9"/>
            <color indexed="81"/>
            <rFont val="Tahoma"/>
            <family val="2"/>
          </rPr>
          <t>محاسبه درصد رطوبت :
(وزن خشک شده) - (وزن اولیه) / ( وزن خشک شده)</t>
        </r>
      </text>
    </comment>
    <comment ref="F22" authorId="0" shapeId="0" xr:uid="{F6A0FEB2-C86A-4E79-A835-DB444CFCABB4}">
      <text>
        <r>
          <rPr>
            <b/>
            <sz val="9"/>
            <color indexed="81"/>
            <rFont val="Tahoma"/>
            <family val="2"/>
          </rPr>
          <t>محاسبه وزن مخصوص :
(وزن اولیه) / (حجم ظرف)</t>
        </r>
      </text>
    </comment>
    <comment ref="M22" authorId="0" shapeId="0" xr:uid="{6719F175-7EE8-43AE-9CBC-CEAF70C8A1F0}">
      <text>
        <r>
          <rPr>
            <b/>
            <sz val="9"/>
            <color indexed="81"/>
            <rFont val="Tahoma"/>
            <family val="2"/>
          </rPr>
          <t>محاسبه جذب آب :
(وزن خشک شده) - (وزن غرق آب شده بعد از 24 ساعت) / 100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<sst xmlns="http://schemas.openxmlformats.org/spreadsheetml/2006/main" count="111" uniqueCount="62">
  <si>
    <t>(Percentage Passing)</t>
  </si>
  <si>
    <t>Sieve Size (mm)</t>
  </si>
  <si>
    <t>اندازه الک (میلیمتر)</t>
  </si>
  <si>
    <t>1"</t>
  </si>
  <si>
    <t>3/4"</t>
  </si>
  <si>
    <t>1/2"</t>
  </si>
  <si>
    <t>3/8"</t>
  </si>
  <si>
    <t>استاندارد ملی 302 - حداکثر سایز سنگدانه 25 میلیمتر</t>
  </si>
  <si>
    <t xml:space="preserve"> وزن مانده روی الک</t>
  </si>
  <si>
    <t xml:space="preserve"> وزن سرشکن شده</t>
  </si>
  <si>
    <t>درصد مانده روی الک</t>
  </si>
  <si>
    <t>درصد مانده تجمعی</t>
  </si>
  <si>
    <t>استاندارد ملی 302 - الزامات اختیاری ماسه</t>
  </si>
  <si>
    <t>1404/01/16</t>
  </si>
  <si>
    <t>تاریخ آزمون :</t>
  </si>
  <si>
    <t>شماره الک</t>
  </si>
  <si>
    <t># 4</t>
  </si>
  <si>
    <t># 8</t>
  </si>
  <si>
    <t># 16</t>
  </si>
  <si>
    <t># 30</t>
  </si>
  <si>
    <t># 50</t>
  </si>
  <si>
    <t># 100</t>
  </si>
  <si>
    <t># 200</t>
  </si>
  <si>
    <t>ردیف</t>
  </si>
  <si>
    <t xml:space="preserve"> درصد عبوری </t>
  </si>
  <si>
    <t>گزارش نتیجه آزمون</t>
  </si>
  <si>
    <t>ارزش ماسه ای ( SE  )  :</t>
  </si>
  <si>
    <t>رده مصالح  :</t>
  </si>
  <si>
    <t>درصد رطوبت   :</t>
  </si>
  <si>
    <t>ضریب سرشکن (گرم ) :</t>
  </si>
  <si>
    <t>وزن خالص نمونه ( گرم )  :</t>
  </si>
  <si>
    <t>وزن بعد از توزین (گرم) :</t>
  </si>
  <si>
    <t>استاندارد ملی 302 - الزامات اجباری ماسه</t>
  </si>
  <si>
    <t>سایز الک</t>
  </si>
  <si>
    <t>نشریه 101 سازمان مدیریت و برنامه ریزی</t>
  </si>
  <si>
    <t xml:space="preserve">                الک های استاندارد                                         (Standard Sieves)  </t>
  </si>
  <si>
    <t># 400</t>
  </si>
  <si>
    <t>محور تحتانی</t>
  </si>
  <si>
    <t>وزن مخصوص (گرم ) :</t>
  </si>
  <si>
    <t>درصد جذب آب  :</t>
  </si>
  <si>
    <t>مدول نرمی  :</t>
  </si>
  <si>
    <t>درصد فیلر   :</t>
  </si>
  <si>
    <t>استاندارد ملی 302 - حداکثر سایز سنگدانه 50 میلیمتر</t>
  </si>
  <si>
    <t>استاندارد ملی 302 - حداکثر سایز سنگدانه 37.5 میلیمتر</t>
  </si>
  <si>
    <t>استاندارد ملی 302 - حداکثر سایز سنگدانه 19 میلیمتر</t>
  </si>
  <si>
    <t>استاندارد ملی 302 - حداکثر سایز سنگدانه 12.5 میلیمتر</t>
  </si>
  <si>
    <t>نشریه 101 - حداکثر سایز سنگدانه 50 میلیمتر</t>
  </si>
  <si>
    <t>نشریه 101 - حداکثر سایز سنگدانه 37.5 میلیمتر</t>
  </si>
  <si>
    <t>نشریه 101 - حداکثر سایز سنگدانه 25 میلیمتر</t>
  </si>
  <si>
    <t>نشریه 101 - حداکثر سایز سنگدانه 19 میلیمتر</t>
  </si>
  <si>
    <t>نشریه 101 - حداکثر سایز سنگدانه 12.5 میلیمتر</t>
  </si>
  <si>
    <t>سایز چشمه
(mm)</t>
  </si>
  <si>
    <t>محدوده استاندارد شن طبق:</t>
  </si>
  <si>
    <t>شماره الک
(Inch)</t>
  </si>
  <si>
    <t xml:space="preserve"> استاندارد  شرکت کوثر بتن - شن و ماسه </t>
  </si>
  <si>
    <t>محور فوقانی</t>
  </si>
  <si>
    <t>درصد عبوری</t>
  </si>
  <si>
    <t>توضیحات :</t>
  </si>
  <si>
    <r>
      <t xml:space="preserve">گزارش دانه بندی سنگدانه شن و </t>
    </r>
    <r>
      <rPr>
        <b/>
        <sz val="16"/>
        <color theme="1"/>
        <rFont val="B Titr"/>
        <charset val="178"/>
      </rPr>
      <t>ماسه</t>
    </r>
    <r>
      <rPr>
        <sz val="16"/>
        <color theme="1"/>
        <rFont val="B Titr"/>
        <charset val="178"/>
      </rPr>
      <t xml:space="preserve">  مورد مصرف در بتن  (شرکت ماسه سازان رباط)</t>
    </r>
  </si>
  <si>
    <t>شن در الک 3/8 م کمبود داریم</t>
  </si>
  <si>
    <t>ASTM     # 400 # 200 # 100  # 50  # 30  # 16  # 8  #4  3/8"   1/2"    3/4"    1"</t>
  </si>
  <si>
    <t>محمور فوقانی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</si>
</sst>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0"/>
    <numFmt numFmtId="166" formatCode="#,##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B Lotus"/>
      <charset val="178"/>
    </font>
    <font>
      <sz val="10"/>
      <name val="Calibri"/>
      <family val="2"/>
      <scheme val="minor"/>
    </font>
    <font>
      <sz val="18"/>
      <color theme="1"/>
      <name val="B Titr"/>
      <charset val="178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6"/>
      <color theme="1"/>
      <name val="B Titr"/>
      <charset val="178"/>
    </font>
    <font>
      <b/>
      <sz val="20"/>
      <color theme="1"/>
      <name val="B Titr"/>
      <charset val="178"/>
    </font>
    <font>
      <b/>
      <sz val="11"/>
      <color theme="1"/>
      <name val="B Titr"/>
      <charset val="178"/>
    </font>
    <font>
      <sz val="11"/>
      <color theme="1"/>
      <name val="B Titr"/>
      <charset val="178"/>
    </font>
    <font>
      <b/>
      <sz val="10"/>
      <color theme="1"/>
      <name val="B Nazanin"/>
      <charset val="178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b/>
      <sz val="48"/>
      <color theme="1"/>
      <name val="B Nazanin"/>
      <charset val="178"/>
    </font>
    <font>
      <b/>
      <sz val="22"/>
      <name val="Times New Roman"/>
      <family val="1"/>
    </font>
    <font>
      <b/>
      <sz val="24"/>
      <color theme="1"/>
      <name val="Times New Roman"/>
      <family val="1"/>
    </font>
    <font>
      <b/>
      <sz val="26"/>
      <color theme="1"/>
      <name val="B Nazanin"/>
      <charset val="178"/>
    </font>
    <font>
      <b/>
      <sz val="24"/>
      <color theme="1"/>
      <name val="B Nazanin"/>
      <charset val="178"/>
    </font>
    <font>
      <b/>
      <sz val="18"/>
      <color rgb="FFFF0000"/>
      <name val="Times New Roman"/>
      <family val="1"/>
    </font>
    <font>
      <b/>
      <sz val="25"/>
      <color theme="1"/>
      <name val="B Titr"/>
      <charset val="178"/>
    </font>
    <font>
      <b/>
      <sz val="25"/>
      <name val="B Lotus"/>
      <charset val="178"/>
    </font>
    <font>
      <b/>
      <sz val="30"/>
      <color theme="1"/>
      <name val="Calibri"/>
      <family val="2"/>
      <scheme val="minor"/>
    </font>
    <font>
      <b/>
      <sz val="26"/>
      <name val="B Nazanin"/>
      <charset val="178"/>
    </font>
    <font>
      <b/>
      <sz val="28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B Titr"/>
      <charset val="178"/>
    </font>
    <font>
      <b/>
      <sz val="14"/>
      <color theme="1"/>
      <name val="B Titr"/>
      <charset val="178"/>
    </font>
    <font>
      <b/>
      <sz val="16"/>
      <color theme="1"/>
      <name val="B Nazanin"/>
      <charset val="178"/>
    </font>
    <font>
      <sz val="14"/>
      <name val="B Zar"/>
      <charset val="178"/>
    </font>
    <font>
      <b/>
      <sz val="9"/>
      <color theme="1"/>
      <name val="B Titr"/>
      <charset val="178"/>
    </font>
    <font>
      <sz val="7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2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B Zar"/>
      <charset val="178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27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22" xfId="0" applyFont="1" applyBorder="1" applyAlignment="1">
      <alignment horizontal="center" vertical="center" wrapText="1" shrinkToFit="1"/>
    </xf>
    <xf numFmtId="0" fontId="13" fillId="0" borderId="2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 shrinkToFit="1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22" xfId="0" applyFont="1" applyBorder="1" applyAlignment="1">
      <alignment horizontal="center" vertical="center" wrapText="1" shrinkToFit="1"/>
    </xf>
    <xf numFmtId="0" fontId="13" fillId="0" borderId="30" xfId="0" applyFont="1" applyBorder="1" applyAlignment="1">
      <alignment vertical="center" wrapText="1"/>
    </xf>
    <xf numFmtId="0" fontId="17" fillId="0" borderId="3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right" vertical="center" wrapText="1"/>
    </xf>
    <xf numFmtId="0" fontId="19" fillId="0" borderId="36" xfId="0" applyFont="1" applyBorder="1" applyAlignment="1">
      <alignment horizontal="right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9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39" fillId="6" borderId="21" xfId="0" applyFont="1" applyFill="1" applyBorder="1" applyAlignment="1">
      <alignment horizontal="center" vertical="center" wrapText="1"/>
    </xf>
    <xf numFmtId="0" fontId="39" fillId="6" borderId="9" xfId="0" applyFont="1" applyFill="1" applyBorder="1" applyAlignment="1">
      <alignment horizontal="center" vertical="center" wrapText="1"/>
    </xf>
    <xf numFmtId="0" fontId="39" fillId="6" borderId="22" xfId="0" applyFont="1" applyFill="1" applyBorder="1" applyAlignment="1">
      <alignment horizontal="center" vertical="center" wrapText="1"/>
    </xf>
    <xf numFmtId="0" fontId="39" fillId="6" borderId="39" xfId="0" applyFont="1" applyFill="1" applyBorder="1" applyAlignment="1">
      <alignment horizontal="center" vertical="center" wrapText="1"/>
    </xf>
    <xf numFmtId="0" fontId="39" fillId="6" borderId="17" xfId="0" applyFont="1" applyFill="1" applyBorder="1" applyAlignment="1">
      <alignment horizontal="center" vertical="center" wrapText="1"/>
    </xf>
    <xf numFmtId="0" fontId="39" fillId="6" borderId="40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10" fillId="2" borderId="6" xfId="0" applyFont="1" applyFill="1" applyBorder="1" applyAlignment="1" applyProtection="1">
      <alignment vertical="top"/>
      <protection hidden="1"/>
    </xf>
    <xf numFmtId="0" fontId="10" fillId="2" borderId="5" xfId="0" applyFont="1" applyFill="1" applyBorder="1" applyAlignment="1" applyProtection="1">
      <alignment vertical="top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 shrinkToFit="1"/>
      <protection hidden="1"/>
    </xf>
    <xf numFmtId="0" fontId="11" fillId="0" borderId="0" xfId="0" applyFont="1" applyProtection="1">
      <protection hidden="1"/>
    </xf>
    <xf numFmtId="0" fontId="11" fillId="2" borderId="0" xfId="0" applyFont="1" applyFill="1" applyAlignment="1" applyProtection="1">
      <alignment vertical="center" shrinkToFit="1"/>
      <protection hidden="1"/>
    </xf>
    <xf numFmtId="0" fontId="3" fillId="2" borderId="1" xfId="0" applyFont="1" applyFill="1" applyBorder="1" applyAlignment="1" applyProtection="1">
      <alignment vertical="top"/>
      <protection hidden="1"/>
    </xf>
    <xf numFmtId="0" fontId="37" fillId="5" borderId="53" xfId="0" applyFont="1" applyFill="1" applyBorder="1" applyAlignment="1" applyProtection="1">
      <alignment horizontal="center" vertical="center" wrapText="1"/>
      <protection hidden="1"/>
    </xf>
    <xf numFmtId="0" fontId="30" fillId="5" borderId="47" xfId="0" applyFont="1" applyFill="1" applyBorder="1" applyAlignment="1" applyProtection="1">
      <alignment horizontal="center" vertical="center" wrapText="1"/>
      <protection hidden="1"/>
    </xf>
    <xf numFmtId="0" fontId="31" fillId="5" borderId="47" xfId="0" applyFont="1" applyFill="1" applyBorder="1" applyAlignment="1" applyProtection="1">
      <alignment horizontal="center" vertical="center" wrapText="1"/>
      <protection hidden="1"/>
    </xf>
    <xf numFmtId="0" fontId="30" fillId="5" borderId="48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3" fontId="26" fillId="0" borderId="0" xfId="0" applyNumberFormat="1" applyFont="1" applyAlignment="1" applyProtection="1">
      <alignment horizontal="center" vertical="center" wrapText="1"/>
      <protection hidden="1"/>
    </xf>
    <xf numFmtId="3" fontId="40" fillId="0" borderId="0" xfId="0" applyNumberFormat="1" applyFont="1" applyAlignment="1" applyProtection="1">
      <alignment horizontal="center" vertical="center" wrapText="1"/>
      <protection hidden="1"/>
    </xf>
    <xf numFmtId="3" fontId="12" fillId="0" borderId="0" xfId="0" applyNumberFormat="1" applyFont="1" applyAlignment="1" applyProtection="1">
      <alignment horizontal="center" vertical="center" wrapText="1"/>
      <protection hidden="1"/>
    </xf>
    <xf numFmtId="4" fontId="12" fillId="0" borderId="0" xfId="0" applyNumberFormat="1" applyFont="1" applyAlignment="1" applyProtection="1">
      <alignment horizontal="center" vertical="center" wrapText="1"/>
      <protection hidden="1"/>
    </xf>
    <xf numFmtId="0" fontId="0" fillId="0" borderId="65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2" borderId="23" xfId="0" applyFill="1" applyBorder="1" applyAlignment="1" applyProtection="1">
      <alignment horizontal="center"/>
      <protection hidden="1"/>
    </xf>
    <xf numFmtId="0" fontId="1" fillId="2" borderId="23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textRotation="90"/>
      <protection hidden="1"/>
    </xf>
    <xf numFmtId="0" fontId="34" fillId="0" borderId="66" xfId="0" applyFont="1" applyBorder="1" applyAlignment="1" applyProtection="1">
      <alignment vertical="center"/>
      <protection hidden="1"/>
    </xf>
    <xf numFmtId="0" fontId="34" fillId="0" borderId="11" xfId="0" applyFont="1" applyBorder="1" applyAlignment="1" applyProtection="1">
      <alignment vertical="center"/>
      <protection hidden="1"/>
    </xf>
    <xf numFmtId="0" fontId="0" fillId="2" borderId="11" xfId="0" applyFill="1" applyBorder="1" applyAlignment="1" applyProtection="1">
      <alignment horizontal="center" vertical="top"/>
      <protection hidden="1"/>
    </xf>
    <xf numFmtId="0" fontId="0" fillId="2" borderId="11" xfId="0" applyFill="1" applyBorder="1" applyAlignment="1" applyProtection="1">
      <alignment horizontal="left" vertical="top"/>
      <protection hidden="1"/>
    </xf>
    <xf numFmtId="0" fontId="34" fillId="0" borderId="11" xfId="0" applyFont="1" applyBorder="1" applyAlignment="1" applyProtection="1">
      <alignment vertical="top"/>
      <protection hidden="1"/>
    </xf>
    <xf numFmtId="0" fontId="1" fillId="2" borderId="11" xfId="0" applyFont="1" applyFill="1" applyBorder="1" applyAlignment="1" applyProtection="1">
      <alignment horizontal="right" vertical="top"/>
      <protection hidden="1"/>
    </xf>
    <xf numFmtId="0" fontId="34" fillId="0" borderId="67" xfId="0" applyFont="1" applyBorder="1" applyAlignment="1" applyProtection="1">
      <alignment vertical="center"/>
      <protection hidden="1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43" fillId="0" borderId="0" xfId="0" applyFont="1"/>
    <xf numFmtId="0" fontId="44" fillId="0" borderId="0" xfId="0" applyFont="1" applyAlignment="1">
      <alignment horizontal="center" vertical="center" wrapText="1"/>
    </xf>
    <xf numFmtId="0" fontId="45" fillId="0" borderId="0" xfId="0" applyFont="1"/>
    <xf numFmtId="0" fontId="42" fillId="5" borderId="47" xfId="0" applyFont="1" applyFill="1" applyBorder="1" applyAlignment="1" applyProtection="1">
      <alignment horizontal="center" vertical="center" wrapText="1"/>
      <protection hidden="1"/>
    </xf>
    <xf numFmtId="165" fontId="12" fillId="0" borderId="0" xfId="0" applyNumberFormat="1" applyFont="1" applyAlignment="1" applyProtection="1">
      <alignment horizontal="center" vertical="center" wrapText="1"/>
      <protection hidden="1"/>
    </xf>
    <xf numFmtId="166" fontId="12" fillId="0" borderId="0" xfId="0" applyNumberFormat="1" applyFont="1" applyAlignment="1" applyProtection="1">
      <alignment horizontal="center" vertical="center" wrapText="1"/>
      <protection hidden="1"/>
    </xf>
    <xf numFmtId="0" fontId="35" fillId="2" borderId="0" xfId="0" applyFont="1" applyFill="1" applyAlignment="1" applyProtection="1">
      <alignment horizontal="center" textRotation="90"/>
      <protection hidden="1"/>
    </xf>
    <xf numFmtId="0" fontId="35" fillId="2" borderId="4" xfId="0" applyFont="1" applyFill="1" applyBorder="1" applyAlignment="1" applyProtection="1">
      <alignment horizontal="center" textRotation="90"/>
      <protection hidden="1"/>
    </xf>
    <xf numFmtId="0" fontId="28" fillId="2" borderId="4" xfId="0" applyFont="1" applyFill="1" applyBorder="1" applyAlignment="1" applyProtection="1">
      <alignment horizontal="center" vertical="top" textRotation="90"/>
      <protection hidden="1"/>
    </xf>
    <xf numFmtId="9" fontId="13" fillId="0" borderId="60" xfId="0" applyNumberFormat="1" applyFont="1" applyBorder="1" applyAlignment="1" applyProtection="1">
      <alignment horizontal="center" vertical="center"/>
      <protection locked="0"/>
    </xf>
    <xf numFmtId="0" fontId="32" fillId="2" borderId="2" xfId="0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horizontal="right" vertical="center" shrinkToFit="1"/>
      <protection hidden="1"/>
    </xf>
    <xf numFmtId="0" fontId="33" fillId="2" borderId="0" xfId="0" applyFont="1" applyFill="1" applyAlignment="1" applyProtection="1">
      <alignment horizontal="center" vertical="center" shrinkToFit="1"/>
      <protection hidden="1"/>
    </xf>
    <xf numFmtId="0" fontId="32" fillId="2" borderId="0" xfId="0" applyFont="1" applyFill="1" applyAlignment="1" applyProtection="1">
      <alignment horizontal="right" vertical="center"/>
      <protection locked="0"/>
    </xf>
    <xf numFmtId="0" fontId="32" fillId="2" borderId="1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 applyProtection="1">
      <alignment horizontal="center" vertical="top" shrinkToFit="1"/>
      <protection hidden="1"/>
    </xf>
    <xf numFmtId="0" fontId="36" fillId="2" borderId="18" xfId="0" applyFont="1" applyFill="1" applyBorder="1" applyAlignment="1" applyProtection="1">
      <alignment horizontal="center" vertical="center" wrapText="1"/>
      <protection hidden="1"/>
    </xf>
    <xf numFmtId="0" fontId="36" fillId="2" borderId="19" xfId="0" applyFont="1" applyFill="1" applyBorder="1" applyAlignment="1" applyProtection="1">
      <alignment horizontal="center" vertical="center" wrapText="1"/>
      <protection hidden="1"/>
    </xf>
    <xf numFmtId="0" fontId="8" fillId="2" borderId="19" xfId="0" applyFont="1" applyFill="1" applyBorder="1" applyAlignment="1" applyProtection="1">
      <alignment horizontal="center" vertical="center" shrinkToFit="1"/>
      <protection hidden="1"/>
    </xf>
    <xf numFmtId="0" fontId="8" fillId="2" borderId="20" xfId="0" applyFont="1" applyFill="1" applyBorder="1" applyAlignment="1" applyProtection="1">
      <alignment horizontal="center" vertical="center" shrinkToFit="1"/>
      <protection hidden="1"/>
    </xf>
    <xf numFmtId="0" fontId="26" fillId="3" borderId="59" xfId="0" applyFont="1" applyFill="1" applyBorder="1" applyAlignment="1" applyProtection="1">
      <alignment horizontal="center" vertical="center"/>
      <protection hidden="1"/>
    </xf>
    <xf numFmtId="0" fontId="26" fillId="3" borderId="60" xfId="0" applyFont="1" applyFill="1" applyBorder="1" applyAlignment="1" applyProtection="1">
      <alignment horizontal="center" vertical="center"/>
      <protection hidden="1"/>
    </xf>
    <xf numFmtId="164" fontId="13" fillId="3" borderId="60" xfId="0" applyNumberFormat="1" applyFont="1" applyFill="1" applyBorder="1" applyAlignment="1" applyProtection="1">
      <alignment horizontal="center" vertical="center"/>
      <protection hidden="1"/>
    </xf>
    <xf numFmtId="0" fontId="34" fillId="3" borderId="60" xfId="0" applyFont="1" applyFill="1" applyBorder="1" applyAlignment="1" applyProtection="1">
      <alignment horizontal="center" vertical="center"/>
      <protection hidden="1"/>
    </xf>
    <xf numFmtId="0" fontId="13" fillId="3" borderId="60" xfId="0" applyFont="1" applyFill="1" applyBorder="1" applyAlignment="1" applyProtection="1">
      <alignment horizontal="center" vertical="center"/>
      <protection locked="0"/>
    </xf>
    <xf numFmtId="0" fontId="13" fillId="3" borderId="61" xfId="0" applyFont="1" applyFill="1" applyBorder="1" applyAlignment="1" applyProtection="1">
      <alignment horizontal="center" vertical="center"/>
      <protection locked="0"/>
    </xf>
    <xf numFmtId="0" fontId="26" fillId="0" borderId="59" xfId="0" applyFont="1" applyBorder="1" applyAlignment="1" applyProtection="1">
      <alignment horizontal="center" vertical="center"/>
      <protection hidden="1"/>
    </xf>
    <xf numFmtId="0" fontId="26" fillId="0" borderId="60" xfId="0" applyFont="1" applyBorder="1" applyAlignment="1" applyProtection="1">
      <alignment horizontal="center" vertical="center"/>
      <protection hidden="1"/>
    </xf>
    <xf numFmtId="0" fontId="29" fillId="2" borderId="1" xfId="0" applyFont="1" applyFill="1" applyBorder="1" applyAlignment="1" applyProtection="1">
      <alignment horizontal="center" vertical="top" textRotation="90"/>
      <protection hidden="1"/>
    </xf>
    <xf numFmtId="0" fontId="38" fillId="0" borderId="56" xfId="0" applyFont="1" applyBorder="1" applyAlignment="1" applyProtection="1">
      <alignment horizontal="center" vertical="center"/>
      <protection hidden="1"/>
    </xf>
    <xf numFmtId="0" fontId="38" fillId="0" borderId="57" xfId="0" applyFont="1" applyBorder="1" applyAlignment="1" applyProtection="1">
      <alignment horizontal="center" vertical="center"/>
      <protection hidden="1"/>
    </xf>
    <xf numFmtId="0" fontId="13" fillId="0" borderId="57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 applyProtection="1">
      <alignment horizontal="center" vertical="center"/>
      <protection hidden="1"/>
    </xf>
    <xf numFmtId="0" fontId="13" fillId="0" borderId="58" xfId="0" applyFont="1" applyBorder="1" applyAlignment="1" applyProtection="1">
      <alignment horizontal="center" vertical="center"/>
      <protection locked="0"/>
    </xf>
    <xf numFmtId="0" fontId="6" fillId="3" borderId="54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55" xfId="0" applyFont="1" applyFill="1" applyBorder="1" applyAlignment="1" applyProtection="1">
      <alignment horizontal="center" vertical="center"/>
      <protection hidden="1"/>
    </xf>
    <xf numFmtId="0" fontId="0" fillId="4" borderId="50" xfId="0" applyFill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0" fillId="4" borderId="51" xfId="0" applyFill="1" applyBorder="1" applyAlignment="1" applyProtection="1">
      <alignment horizontal="center"/>
      <protection hidden="1"/>
    </xf>
    <xf numFmtId="0" fontId="0" fillId="4" borderId="52" xfId="0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4" borderId="14" xfId="0" applyFill="1" applyBorder="1" applyAlignment="1" applyProtection="1">
      <alignment horizontal="center" vertical="center"/>
      <protection hidden="1"/>
    </xf>
    <xf numFmtId="0" fontId="0" fillId="4" borderId="15" xfId="0" applyFill="1" applyBorder="1" applyAlignment="1" applyProtection="1">
      <alignment horizontal="center" vertical="center"/>
      <protection hidden="1"/>
    </xf>
    <xf numFmtId="0" fontId="34" fillId="0" borderId="62" xfId="0" applyFont="1" applyBorder="1" applyAlignment="1" applyProtection="1">
      <alignment horizontal="center" vertical="center"/>
      <protection hidden="1"/>
    </xf>
    <xf numFmtId="0" fontId="34" fillId="0" borderId="63" xfId="0" applyFont="1" applyBorder="1" applyAlignment="1" applyProtection="1">
      <alignment horizontal="center" vertical="center"/>
      <protection hidden="1"/>
    </xf>
    <xf numFmtId="0" fontId="13" fillId="0" borderId="63" xfId="0" applyFont="1" applyBorder="1" applyAlignment="1" applyProtection="1">
      <alignment horizontal="center" vertical="center"/>
      <protection locked="0"/>
    </xf>
    <xf numFmtId="9" fontId="13" fillId="0" borderId="63" xfId="1" applyFont="1" applyBorder="1" applyAlignment="1" applyProtection="1">
      <alignment horizontal="center" vertical="center"/>
      <protection hidden="1"/>
    </xf>
    <xf numFmtId="9" fontId="13" fillId="0" borderId="64" xfId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top" wrapText="1" readingOrder="2"/>
      <protection locked="0"/>
    </xf>
    <xf numFmtId="0" fontId="0" fillId="0" borderId="1" xfId="0" applyBorder="1" applyAlignment="1" applyProtection="1">
      <alignment horizontal="right" vertical="top" wrapText="1" readingOrder="2"/>
      <protection locked="0"/>
    </xf>
    <xf numFmtId="0" fontId="34" fillId="0" borderId="60" xfId="0" applyFont="1" applyBorder="1" applyAlignment="1" applyProtection="1">
      <alignment horizontal="center" vertical="center"/>
      <protection hidden="1"/>
    </xf>
    <xf numFmtId="9" fontId="13" fillId="0" borderId="60" xfId="1" applyFont="1" applyBorder="1" applyAlignment="1" applyProtection="1">
      <alignment horizontal="center" vertical="center"/>
      <protection locked="0"/>
    </xf>
    <xf numFmtId="9" fontId="13" fillId="0" borderId="61" xfId="1" applyFont="1" applyBorder="1" applyAlignment="1" applyProtection="1">
      <alignment horizontal="center" vertical="center"/>
      <protection locked="0"/>
    </xf>
    <xf numFmtId="9" fontId="13" fillId="3" borderId="60" xfId="1" applyFont="1" applyFill="1" applyBorder="1" applyAlignment="1" applyProtection="1">
      <alignment horizontal="center" vertical="center"/>
      <protection locked="0"/>
    </xf>
    <xf numFmtId="9" fontId="13" fillId="3" borderId="61" xfId="1" applyFont="1" applyFill="1" applyBorder="1" applyAlignment="1" applyProtection="1">
      <alignment horizontal="center" vertical="center"/>
      <protection locked="0"/>
    </xf>
    <xf numFmtId="0" fontId="41" fillId="2" borderId="1" xfId="0" applyFont="1" applyFill="1" applyBorder="1" applyAlignment="1" applyProtection="1">
      <alignment horizontal="center" textRotation="90"/>
      <protection hidden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29"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B Nazanin"/>
        <charset val="17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B Nazanin"/>
        <charset val="17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B Nazanin"/>
        <charset val="17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double">
          <color auto="1"/>
        </left>
        <right style="double">
          <color auto="1"/>
        </right>
        <top style="thin">
          <color auto="1"/>
        </top>
        <bottom style="double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ck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ck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ck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ck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 Nazanin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ck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ck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ck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ck">
          <color auto="1"/>
        </right>
        <top/>
        <bottom style="thin">
          <color auto="1"/>
        </bottom>
      </border>
    </dxf>
    <dxf>
      <border outline="0">
        <top style="thin">
          <color auto="1"/>
        </top>
      </border>
    </dxf>
    <dxf>
      <font>
        <b/>
        <strike val="0"/>
        <outline val="0"/>
        <shadow val="0"/>
        <u val="none"/>
        <vertAlign val="baseline"/>
        <sz val="18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readingOrder="0"/>
    </dxf>
    <dxf>
      <border outline="0">
        <left style="thick">
          <color auto="1"/>
        </left>
        <right style="thick">
          <color auto="1"/>
        </right>
        <top style="thin">
          <color auto="1"/>
        </top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'محور ها'!$E$3</c:f>
              <c:strCache>
                <c:ptCount val="1"/>
                <c:pt idx="0">
                  <c:v>محور تحتانی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'محور ها'!$E$4:$E$15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80</c:v>
                </c:pt>
                <c:pt idx="4">
                  <c:v>65</c:v>
                </c:pt>
                <c:pt idx="5">
                  <c:v>55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BB-467A-B0A0-C7E8C4CD9390}"/>
            </c:ext>
          </c:extLst>
        </c:ser>
        <c:ser>
          <c:idx val="2"/>
          <c:order val="2"/>
          <c:tx>
            <c:strRef>
              <c:f>'محور ها'!$F$3</c:f>
              <c:strCache>
                <c:ptCount val="1"/>
                <c:pt idx="0">
                  <c:v>محور فوقانی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yVal>
            <c:numRef>
              <c:f>'محور ها'!$F$4:$F$15</c:f>
              <c:numCache>
                <c:formatCode>General</c:formatCode>
                <c:ptCount val="12"/>
                <c:pt idx="0">
                  <c:v>100</c:v>
                </c:pt>
                <c:pt idx="1">
                  <c:v>90</c:v>
                </c:pt>
                <c:pt idx="2">
                  <c:v>75</c:v>
                </c:pt>
                <c:pt idx="3">
                  <c:v>60</c:v>
                </c:pt>
                <c:pt idx="4">
                  <c:v>45</c:v>
                </c:pt>
                <c:pt idx="5">
                  <c:v>35</c:v>
                </c:pt>
                <c:pt idx="6">
                  <c:v>25</c:v>
                </c:pt>
                <c:pt idx="7">
                  <c:v>15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BB-467A-B0A0-C7E8C4CD9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273920"/>
        <c:axId val="577275000"/>
      </c:scatterChart>
      <c:scatterChart>
        <c:scatterStyle val="lineMarker"/>
        <c:varyColors val="0"/>
        <c:ser>
          <c:idx val="0"/>
          <c:order val="0"/>
          <c:tx>
            <c:strRef>
              <c:f>'محور ها'!$D$3</c:f>
              <c:strCache>
                <c:ptCount val="1"/>
                <c:pt idx="0">
                  <c:v>سایز چشمه
(mm)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'محور ها'!$D$4:$D$15</c:f>
              <c:numCache>
                <c:formatCode>General</c:formatCode>
                <c:ptCount val="12"/>
                <c:pt idx="0">
                  <c:v>25</c:v>
                </c:pt>
                <c:pt idx="1">
                  <c:v>19.05</c:v>
                </c:pt>
                <c:pt idx="2">
                  <c:v>12.5</c:v>
                </c:pt>
                <c:pt idx="3">
                  <c:v>9.5</c:v>
                </c:pt>
                <c:pt idx="4">
                  <c:v>4.75</c:v>
                </c:pt>
                <c:pt idx="5">
                  <c:v>2.36</c:v>
                </c:pt>
                <c:pt idx="6">
                  <c:v>1.18</c:v>
                </c:pt>
                <c:pt idx="7">
                  <c:v>0.6</c:v>
                </c:pt>
                <c:pt idx="8">
                  <c:v>0.3</c:v>
                </c:pt>
                <c:pt idx="9">
                  <c:v>0.125</c:v>
                </c:pt>
                <c:pt idx="10">
                  <c:v>7.4999999999999997E-2</c:v>
                </c:pt>
                <c:pt idx="11">
                  <c:v>3.2000000000000001E-2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BB-467A-B0A0-C7E8C4CD9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26840"/>
        <c:axId val="640922880"/>
      </c:scatterChart>
      <c:valAx>
        <c:axId val="577273920"/>
        <c:scaling>
          <c:logBase val="2"/>
          <c:orientation val="minMax"/>
          <c:max val="12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275000"/>
        <c:crosses val="autoZero"/>
        <c:crossBetween val="midCat"/>
      </c:valAx>
      <c:valAx>
        <c:axId val="577275000"/>
        <c:scaling>
          <c:logBase val="2"/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273920"/>
        <c:crosses val="autoZero"/>
        <c:crossBetween val="midCat"/>
      </c:valAx>
      <c:valAx>
        <c:axId val="640922880"/>
        <c:scaling>
          <c:orientation val="minMax"/>
          <c:max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926840"/>
        <c:crosses val="max"/>
        <c:crossBetween val="midCat"/>
      </c:valAx>
      <c:valAx>
        <c:axId val="640926840"/>
        <c:scaling>
          <c:logBase val="2"/>
          <c:orientation val="minMax"/>
        </c:scaling>
        <c:delete val="1"/>
        <c:axPos val="b"/>
        <c:majorTickMark val="out"/>
        <c:minorTickMark val="none"/>
        <c:tickLblPos val="nextTo"/>
        <c:crossAx val="640922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'محور ها'!$I$31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43-412B-A640-58A5C13FE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206368"/>
        <c:axId val="634207448"/>
      </c:scatterChart>
      <c:valAx>
        <c:axId val="634206368"/>
        <c:scaling>
          <c:logBase val="2"/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207448"/>
        <c:crossesAt val="64"/>
        <c:crossBetween val="midCat"/>
        <c:majorUnit val="1"/>
      </c:valAx>
      <c:valAx>
        <c:axId val="634207448"/>
        <c:scaling>
          <c:logBase val="10"/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206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19050</xdr:rowOff>
    </xdr:from>
    <xdr:to>
      <xdr:col>3</xdr:col>
      <xdr:colOff>622733</xdr:colOff>
      <xdr:row>3</xdr:row>
      <xdr:rowOff>61912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ED5563-DF03-483D-B8F3-1F2749699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08830313" y="225425"/>
          <a:ext cx="1365249" cy="622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15</xdr:row>
      <xdr:rowOff>160336</xdr:rowOff>
    </xdr:from>
    <xdr:to>
      <xdr:col>7</xdr:col>
      <xdr:colOff>31750</xdr:colOff>
      <xdr:row>36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99DD8C-3371-5CA1-4AC5-7517EB6E35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47626</xdr:colOff>
      <xdr:row>30</xdr:row>
      <xdr:rowOff>47625</xdr:rowOff>
    </xdr:from>
    <xdr:to>
      <xdr:col>8</xdr:col>
      <xdr:colOff>2794000</xdr:colOff>
      <xdr:row>72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609608-E651-CD6A-01FC-89D1E17E4A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3121-911\Desktop\&#1711;&#1586;&#1575;&#1585;&#1588;%20&#1570;&#1586;&#1605;&#1575;&#1740;&#1588;&#1711;&#1575;&#1607;\&#1605;&#1583;&#1608;&#1604;%20&#1606;&#1585;&#1605;&#1740;%20&#1587;&#1606;&#1711;&#1583;&#1575;&#1606;&#1607;.xlsx" TargetMode="External"/><Relationship Id="rId1" Type="http://schemas.openxmlformats.org/officeDocument/2006/relationships/externalLinkPath" Target="&#1605;&#1583;&#1608;&#1604;%20&#1606;&#1585;&#1605;&#1740;%20&#1587;&#1606;&#1711;&#1583;&#1575;&#1606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شن و ماسه"/>
      <sheetName val="محور ها"/>
      <sheetName val="شن"/>
      <sheetName val="ماسه "/>
    </sheetNames>
    <sheetDataSet>
      <sheetData sheetId="0"/>
      <sheetData sheetId="1"/>
      <sheetData sheetId="2"/>
      <sheetData sheetId="3">
        <row r="5">
          <cell r="D5">
            <v>25.4</v>
          </cell>
          <cell r="I5">
            <v>100</v>
          </cell>
        </row>
        <row r="6">
          <cell r="D6">
            <v>19.05</v>
          </cell>
          <cell r="I6">
            <v>100</v>
          </cell>
        </row>
        <row r="7">
          <cell r="D7">
            <v>12.5</v>
          </cell>
          <cell r="I7">
            <v>100</v>
          </cell>
        </row>
        <row r="8">
          <cell r="D8">
            <v>9.5</v>
          </cell>
          <cell r="I8">
            <v>100</v>
          </cell>
        </row>
        <row r="9">
          <cell r="D9">
            <v>6.35</v>
          </cell>
          <cell r="I9">
            <v>100</v>
          </cell>
        </row>
        <row r="10">
          <cell r="D10">
            <v>4.75</v>
          </cell>
          <cell r="I10">
            <v>100</v>
          </cell>
        </row>
        <row r="11">
          <cell r="D11">
            <v>2.36</v>
          </cell>
          <cell r="I11">
            <v>48.804780876494021</v>
          </cell>
        </row>
        <row r="12">
          <cell r="D12">
            <v>1.18</v>
          </cell>
          <cell r="I12">
            <v>17.928286852589636</v>
          </cell>
        </row>
        <row r="13">
          <cell r="D13">
            <v>0.6</v>
          </cell>
          <cell r="I13">
            <v>6.9721115537848561</v>
          </cell>
        </row>
        <row r="14">
          <cell r="D14">
            <v>0.3</v>
          </cell>
          <cell r="I14">
            <v>4.1832669322709108</v>
          </cell>
        </row>
        <row r="15">
          <cell r="D15">
            <v>0.125</v>
          </cell>
          <cell r="I15">
            <v>1.1952191235059644</v>
          </cell>
        </row>
        <row r="16">
          <cell r="D16">
            <v>7.4999999999999997E-2</v>
          </cell>
          <cell r="I16">
            <v>0.59760956175297508</v>
          </cell>
        </row>
        <row r="17">
          <cell r="D17">
            <v>3.2000000000000001E-2</v>
          </cell>
          <cell r="I17">
            <v>0.99601593625496321</v>
          </cell>
        </row>
        <row r="22">
          <cell r="N22">
            <v>0.15</v>
          </cell>
          <cell r="O22">
            <v>0.3</v>
          </cell>
          <cell r="P22">
            <v>0.6</v>
          </cell>
          <cell r="Q22">
            <v>1.18</v>
          </cell>
          <cell r="R22">
            <v>2.36</v>
          </cell>
          <cell r="S22">
            <v>4.75</v>
          </cell>
          <cell r="T22">
            <v>9.5</v>
          </cell>
        </row>
        <row r="23">
          <cell r="N23">
            <v>10</v>
          </cell>
          <cell r="O23">
            <v>30</v>
          </cell>
          <cell r="P23">
            <v>60</v>
          </cell>
          <cell r="Q23">
            <v>85</v>
          </cell>
          <cell r="R23">
            <v>100</v>
          </cell>
          <cell r="S23">
            <v>100</v>
          </cell>
          <cell r="T23">
            <v>100</v>
          </cell>
          <cell r="U23" t="str">
            <v>محمور فوقانی</v>
          </cell>
          <cell r="V23"/>
        </row>
        <row r="24">
          <cell r="N24">
            <v>2</v>
          </cell>
          <cell r="O24">
            <v>10</v>
          </cell>
          <cell r="P24">
            <v>25</v>
          </cell>
          <cell r="Q24">
            <v>50</v>
          </cell>
          <cell r="R24">
            <v>80</v>
          </cell>
          <cell r="S24">
            <v>95</v>
          </cell>
          <cell r="T24">
            <v>100</v>
          </cell>
          <cell r="U24" t="str">
            <v>محور تحتانی</v>
          </cell>
          <cell r="V24"/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5A2B0B-3D29-4BDF-B34A-E81CAEA1D3B8}" name="Table125" displayName="Table125" ref="I5:AS18" headerRowCount="0" headerRowDxfId="128" dataDxfId="126" totalsRowDxfId="124" headerRowBorderDxfId="127" tableBorderDxfId="125" totalsRowBorderDxfId="123">
  <tableColumns count="37">
    <tableColumn id="1" xr3:uid="{83E745AB-66DF-44C3-8D57-C0643EEE6838}" name="Column1" totalsRowLabel="Total" headerRowDxfId="122" dataDxfId="121" totalsRowDxfId="120"/>
    <tableColumn id="2" xr3:uid="{B0E3213C-28A0-464F-8F5A-ADAE1665A349}" name="Column2" totalsRowFunction="sum" headerRowDxfId="119" dataDxfId="118" totalsRowDxfId="117"/>
    <tableColumn id="3" xr3:uid="{3D8518BF-20FE-43FD-B6FC-012E55C28730}" name="Column3" totalsRowFunction="sum" headerRowDxfId="116" dataDxfId="115" totalsRowDxfId="114"/>
    <tableColumn id="4" xr3:uid="{E0C32C29-DAA1-4071-B833-F67272914374}" name="Column4" totalsRowFunction="sum" headerRowDxfId="113" dataDxfId="112" totalsRowDxfId="111"/>
    <tableColumn id="5" xr3:uid="{94A62E0A-8492-44C1-B301-E5B52DD2E8E6}" name="Column5" totalsRowFunction="sum" headerRowDxfId="110" dataDxfId="109" totalsRowDxfId="108"/>
    <tableColumn id="6" xr3:uid="{4A39A35A-7A83-49B9-8C93-8575AE6E7D75}" name="Column6" totalsRowFunction="sum" headerRowDxfId="107" dataDxfId="106" totalsRowDxfId="105"/>
    <tableColumn id="7" xr3:uid="{B452A183-FE64-4256-8C11-2C92FE2B065E}" name="Column7" totalsRowFunction="sum" headerRowDxfId="104" dataDxfId="103" totalsRowDxfId="102"/>
    <tableColumn id="8" xr3:uid="{55F93373-D7D3-464E-B93D-F7D610F3D0F5}" name="Column8" totalsRowFunction="sum" headerRowDxfId="101" dataDxfId="100" totalsRowDxfId="99"/>
    <tableColumn id="9" xr3:uid="{3CA067C8-5A6E-4C00-852C-DDE31FDC5257}" name="Column9" totalsRowFunction="sum" headerRowDxfId="98" dataDxfId="97" totalsRowDxfId="96"/>
    <tableColumn id="10" xr3:uid="{25FAAB12-D3E9-41BC-9F66-352FCC00A67D}" name="Column10" totalsRowFunction="sum" headerRowDxfId="95" dataDxfId="94" totalsRowDxfId="93"/>
    <tableColumn id="11" xr3:uid="{9568DEBA-0283-480A-A399-6112D5686BB2}" name="Column11" totalsRowFunction="sum" headerRowDxfId="92" dataDxfId="91" totalsRowDxfId="90"/>
    <tableColumn id="12" xr3:uid="{886994FF-FB0D-4D68-832C-F5E2F424815E}" name="Column12" totalsRowFunction="sum" headerRowDxfId="89" dataDxfId="88" totalsRowDxfId="87"/>
    <tableColumn id="13" xr3:uid="{182BF59D-C536-4DC2-B2ED-D1AE2EDB8DD8}" name="Column13" totalsRowFunction="sum" headerRowDxfId="86" dataDxfId="85" totalsRowDxfId="84"/>
    <tableColumn id="14" xr3:uid="{50722F85-D477-40A4-A2CD-6E377B35B94D}" name="Column14" totalsRowFunction="sum" headerRowDxfId="83" dataDxfId="82" totalsRowDxfId="81"/>
    <tableColumn id="15" xr3:uid="{8A613B31-E780-4908-8B52-65B87C382B16}" name="Column15" totalsRowFunction="sum" headerRowDxfId="80" dataDxfId="79" totalsRowDxfId="78"/>
    <tableColumn id="16" xr3:uid="{2655EF06-73A6-44FC-BA79-2E531F82BCF3}" name="Column16" totalsRowFunction="sum" headerRowDxfId="77" dataDxfId="76" totalsRowDxfId="75"/>
    <tableColumn id="17" xr3:uid="{1E120B5D-4C6C-463A-857F-5501C4AA4B69}" name="Column17" totalsRowFunction="sum" headerRowDxfId="74" dataDxfId="73" totalsRowDxfId="72"/>
    <tableColumn id="18" xr3:uid="{BDC28CBC-5F6D-48DC-8A5F-593702057891}" name="Column18" totalsRowFunction="sum" headerRowDxfId="71" dataDxfId="70" totalsRowDxfId="69"/>
    <tableColumn id="19" xr3:uid="{A2D6F0BC-2991-452A-9F49-FECF58EF998B}" name="Column19" totalsRowFunction="sum" headerRowDxfId="68" dataDxfId="67" totalsRowDxfId="66"/>
    <tableColumn id="20" xr3:uid="{420BD20B-25C6-4B2B-AE42-DC6985304B90}" name="Column20" totalsRowFunction="sum" headerRowDxfId="65" dataDxfId="64" totalsRowDxfId="63"/>
    <tableColumn id="21" xr3:uid="{32FC7DD0-0158-4E4B-B116-BAB2CA6367BD}" name="Column21" totalsRowFunction="sum" headerRowDxfId="62" dataDxfId="61" totalsRowDxfId="60"/>
    <tableColumn id="22" xr3:uid="{688742CD-3017-4E41-B7C1-C5F2A48AE5E5}" name="Column22" totalsRowFunction="sum" headerRowDxfId="59" dataDxfId="58" totalsRowDxfId="57"/>
    <tableColumn id="23" xr3:uid="{73F4065F-9E4C-454B-97AB-57A9D075C318}" name="Column23" totalsRowFunction="sum" headerRowDxfId="56" dataDxfId="55" totalsRowDxfId="54"/>
    <tableColumn id="24" xr3:uid="{90E279D8-2DA8-43A4-816A-5CFF109D156D}" name="Column24" totalsRowFunction="sum" headerRowDxfId="53" dataDxfId="52" totalsRowDxfId="51"/>
    <tableColumn id="25" xr3:uid="{9A1B176A-24A4-43ED-9409-7B6D165FC064}" name="Column25" totalsRowFunction="sum" headerRowDxfId="50" dataDxfId="49" totalsRowDxfId="48"/>
    <tableColumn id="26" xr3:uid="{AAAC3D08-93A0-4023-A6E9-D02AF17ECBC5}" name="Column26" totalsRowFunction="sum" headerRowDxfId="47" dataDxfId="46" totalsRowDxfId="45"/>
    <tableColumn id="27" xr3:uid="{E7FA417E-303A-4560-AD70-A6CC5CBE8F06}" name="Column27" totalsRowFunction="sum" headerRowDxfId="44" dataDxfId="43" totalsRowDxfId="42"/>
    <tableColumn id="28" xr3:uid="{58774BAE-CFF8-442C-AD7A-2762B2A8C2B7}" name="Column28" totalsRowFunction="sum" headerRowDxfId="41" dataDxfId="40" totalsRowDxfId="39"/>
    <tableColumn id="29" xr3:uid="{E7134C7F-331C-4B8D-8B30-FA8F7B8C5227}" name="Column29" totalsRowFunction="sum" headerRowDxfId="38" dataDxfId="37" totalsRowDxfId="36"/>
    <tableColumn id="30" xr3:uid="{59AAFC00-96BF-48E2-9274-F8FAAC00A0D1}" name="Column30" totalsRowFunction="sum" headerRowDxfId="35" dataDxfId="34" totalsRowDxfId="33"/>
    <tableColumn id="31" xr3:uid="{5B787C5A-4DE9-475C-9852-DA000110FBCE}" name="Column31" totalsRowFunction="sum" headerRowDxfId="32" dataDxfId="31" totalsRowDxfId="30"/>
    <tableColumn id="32" xr3:uid="{DC238CA7-F63F-43EA-94CE-569ECA811637}" name="Column32" totalsRowFunction="sum" headerRowDxfId="29" dataDxfId="28" totalsRowDxfId="27"/>
    <tableColumn id="33" xr3:uid="{9E3C85D4-9550-47F5-B85E-2706E9DC8D0F}" name="Column33" totalsRowFunction="sum" headerRowDxfId="26" dataDxfId="25" totalsRowDxfId="24"/>
    <tableColumn id="34" xr3:uid="{2C5F2A61-379C-4A5E-B016-B806FBFAFDE4}" name="Column34" totalsRowFunction="sum" headerRowDxfId="23" dataDxfId="22" totalsRowDxfId="21"/>
    <tableColumn id="35" xr3:uid="{CF1940ED-3250-484B-AB77-75B0BCA003DB}" name="Column35" totalsRowFunction="sum" headerRowDxfId="20" dataDxfId="19" totalsRowDxfId="18"/>
    <tableColumn id="36" xr3:uid="{1B288A42-F898-4D01-B0FF-8AB2F30121AC}" name="Column36" totalsRowFunction="sum" headerRowDxfId="17" dataDxfId="16" totalsRowDxfId="15"/>
    <tableColumn id="37" xr3:uid="{171272A0-E8D8-4818-A0CF-CB2B1825DD31}" name="Column37" totalsRowFunction="sum" headerRowDxfId="14" dataDxfId="13" totalsRowDxfId="12"/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FE4199-909E-428F-A4C9-9EC4782C3694}" name="Table8" displayName="Table8" ref="B3:F15" totalsRowShown="0" headerRowDxfId="11" dataDxfId="9" headerRowBorderDxfId="10" tableBorderDxfId="8" totalsRowBorderDxfId="7">
  <autoFilter ref="B3:F15" xr:uid="{38FE4199-909E-428F-A4C9-9EC4782C3694}"/>
  <tableColumns count="5">
    <tableColumn id="1" xr3:uid="{E1AD1DC0-997F-4D08-9F65-5AEAF6F3F6A5}" name="ردیف" dataDxfId="6"/>
    <tableColumn id="2" xr3:uid="{6F483ECE-079B-4EFA-BB67-4FB2DD44CFF2}" name="شماره الک_x000a_(Inch)" dataDxfId="5"/>
    <tableColumn id="3" xr3:uid="{53848543-0DB0-45F0-B751-55F2646D2010}" name="سایز چشمه_x000a_(mm)" dataDxfId="4"/>
    <tableColumn id="4" xr3:uid="{99565C34-60B9-49F8-A8F4-5D2DDB0B4DB9}" name="محور تحتانی" dataDxfId="3"/>
    <tableColumn id="5" xr3:uid="{EA3DFF09-290B-474E-A7D1-5A6326410586}" name="محور فوقانی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9FE4-137D-44FF-86E4-0667EAEAB470}">
  <dimension ref="A1:Y25"/>
  <sheetViews>
    <sheetView rightToLeft="1" tabSelected="1" zoomScale="110" zoomScaleNormal="110" zoomScalePageLayoutView="60" workbookViewId="0">
      <selection activeCell="K30" sqref="K30"/>
    </sheetView>
  </sheetViews>
  <sheetFormatPr defaultRowHeight="15" x14ac:dyDescent="0.25"/>
  <cols>
    <col min="1" max="1" width="1.5703125" style="48" customWidth="1"/>
    <col min="2" max="2" width="3.140625" style="48" customWidth="1"/>
    <col min="3" max="3" width="8.5703125" style="48" customWidth="1"/>
    <col min="4" max="4" width="9.28515625" style="48" customWidth="1"/>
    <col min="5" max="5" width="4.85546875" style="48" customWidth="1"/>
    <col min="6" max="6" width="7.7109375" style="48" customWidth="1"/>
    <col min="7" max="7" width="4.85546875" style="48" customWidth="1"/>
    <col min="8" max="8" width="6.28515625" style="48" customWidth="1"/>
    <col min="9" max="9" width="14.140625" style="48" hidden="1" customWidth="1"/>
    <col min="10" max="11" width="6.5703125" style="48" customWidth="1"/>
    <col min="12" max="12" width="3" style="48" customWidth="1"/>
    <col min="13" max="13" width="8.140625" style="48" customWidth="1"/>
    <col min="14" max="14" width="5.85546875" style="48" customWidth="1"/>
    <col min="15" max="15" width="5" style="48" customWidth="1"/>
    <col min="16" max="19" width="7.42578125" style="48" customWidth="1"/>
    <col min="20" max="20" width="6.140625" style="48" customWidth="1"/>
    <col min="21" max="21" width="6.42578125" style="48" customWidth="1"/>
    <col min="22" max="22" width="7.42578125" style="48" customWidth="1"/>
    <col min="23" max="23" width="9.140625" style="48"/>
    <col min="24" max="24" width="2.5703125" style="48" customWidth="1"/>
    <col min="25" max="25" width="1.5703125" style="48" customWidth="1"/>
    <col min="26" max="16384" width="9.140625" style="48"/>
  </cols>
  <sheetData>
    <row r="1" spans="1:25" ht="9" customHeight="1" thickTop="1" thickBot="1" x14ac:dyDescent="0.3">
      <c r="A1" s="122"/>
      <c r="B1" s="118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ht="24" customHeight="1" thickTop="1" x14ac:dyDescent="0.25">
      <c r="A2" s="123"/>
      <c r="B2" s="90" t="s">
        <v>58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1"/>
      <c r="Y2" s="126"/>
    </row>
    <row r="3" spans="1:25" s="53" customFormat="1" ht="21.75" customHeight="1" thickBot="1" x14ac:dyDescent="0.65">
      <c r="A3" s="123"/>
      <c r="B3" s="49"/>
      <c r="C3" s="50"/>
      <c r="D3" s="50"/>
      <c r="E3" s="50"/>
      <c r="F3" s="50"/>
      <c r="G3" s="92"/>
      <c r="H3" s="92"/>
      <c r="I3" s="92"/>
      <c r="J3" s="92"/>
      <c r="K3" s="92"/>
      <c r="L3" s="92"/>
      <c r="M3" s="92"/>
      <c r="N3" s="92"/>
      <c r="O3" s="51"/>
      <c r="P3" s="52"/>
      <c r="Q3" s="52"/>
      <c r="R3" s="93" t="s">
        <v>14</v>
      </c>
      <c r="S3" s="93"/>
      <c r="T3" s="93"/>
      <c r="U3" s="94" t="s">
        <v>13</v>
      </c>
      <c r="V3" s="94"/>
      <c r="W3" s="94"/>
      <c r="X3" s="95"/>
      <c r="Y3" s="127"/>
    </row>
    <row r="4" spans="1:25" s="53" customFormat="1" ht="28.5" customHeight="1" thickTop="1" thickBot="1" x14ac:dyDescent="0.65">
      <c r="A4" s="123"/>
      <c r="B4" s="97" t="s">
        <v>52</v>
      </c>
      <c r="C4" s="98"/>
      <c r="D4" s="98"/>
      <c r="E4" s="98"/>
      <c r="F4" s="99" t="s">
        <v>54</v>
      </c>
      <c r="G4" s="99"/>
      <c r="H4" s="99"/>
      <c r="I4" s="99"/>
      <c r="J4" s="99"/>
      <c r="K4" s="100"/>
      <c r="L4" s="54"/>
      <c r="M4" s="96" t="s">
        <v>35</v>
      </c>
      <c r="N4" s="96"/>
      <c r="O4" s="96"/>
      <c r="P4" s="96"/>
      <c r="Q4" s="96"/>
      <c r="R4" s="96"/>
      <c r="S4" s="96"/>
      <c r="T4" s="96"/>
      <c r="U4" s="96"/>
      <c r="V4" s="96"/>
      <c r="W4" s="96"/>
      <c r="X4" s="55"/>
      <c r="Y4" s="127"/>
    </row>
    <row r="5" spans="1:25" ht="41.25" customHeight="1" thickTop="1" thickBot="1" x14ac:dyDescent="0.3">
      <c r="A5" s="123"/>
      <c r="B5" s="56" t="s">
        <v>23</v>
      </c>
      <c r="C5" s="57" t="s">
        <v>53</v>
      </c>
      <c r="D5" s="57" t="s">
        <v>51</v>
      </c>
      <c r="E5" s="57" t="s">
        <v>37</v>
      </c>
      <c r="F5" s="57" t="s">
        <v>24</v>
      </c>
      <c r="G5" s="57" t="s">
        <v>55</v>
      </c>
      <c r="H5" s="58" t="s">
        <v>8</v>
      </c>
      <c r="I5" s="57" t="s">
        <v>9</v>
      </c>
      <c r="J5" s="57" t="s">
        <v>10</v>
      </c>
      <c r="K5" s="59" t="s">
        <v>11</v>
      </c>
      <c r="L5" s="86"/>
      <c r="M5" s="60"/>
      <c r="N5"/>
      <c r="O5"/>
      <c r="P5"/>
      <c r="Q5"/>
      <c r="R5"/>
      <c r="S5"/>
      <c r="T5"/>
      <c r="U5"/>
      <c r="V5"/>
      <c r="W5"/>
      <c r="X5" s="141" t="s">
        <v>56</v>
      </c>
      <c r="Y5" s="127"/>
    </row>
    <row r="6" spans="1:25" ht="25.5" customHeight="1" x14ac:dyDescent="0.25">
      <c r="A6" s="123"/>
      <c r="B6" s="62">
        <f>IF(C6=0,"",SUBTOTAL(3,$C$6:C6))</f>
        <v>1</v>
      </c>
      <c r="C6" s="63" t="str" cm="1">
        <f t="array" ref="C6:C17">_xlfn._xlws.FILTER(Table8[شماره الک
(Inch)], (Table8[محور تحتانی]&lt;&gt;0)+(Table8[محور فوقانی]&lt;&gt;0))</f>
        <v>1"</v>
      </c>
      <c r="D6" s="64" cm="1">
        <f t="array" ref="D6:D17">_xlfn._xlws.FILTER(Table8[سایز چشمه
(mm)], (Table8[محور تحتانی]&lt;&gt;0)+(Table8[محور فوقانی]&lt;&gt;0))</f>
        <v>25</v>
      </c>
      <c r="E6" s="64" cm="1">
        <f t="array" ref="E6:E17">_xlfn._xlws.FILTER(Table8[محور تحتانی], (Table8[محور تحتانی]&lt;&gt;0)+(Table8[محور فوقانی]&lt;&gt;0))</f>
        <v>100</v>
      </c>
      <c r="F6" s="85">
        <f>IF(H6="","",100-K6)</f>
        <v>100</v>
      </c>
      <c r="G6" s="64" cm="1">
        <f t="array" ref="G6:G17">_xlfn._xlws.FILTER(Table8[محور فوقانی], (Table8[محور تحتانی]&lt;&gt;0)+(Table8[محور فوقانی]&lt;&gt;0))</f>
        <v>100</v>
      </c>
      <c r="H6" s="78">
        <v>0</v>
      </c>
      <c r="I6" s="64">
        <f>IF(OR($F$19="",H6=""),"",H6*$F$20)</f>
        <v>0</v>
      </c>
      <c r="J6" s="65">
        <f>IF(H6="","",H6*100/$F$19)</f>
        <v>0</v>
      </c>
      <c r="K6" s="65">
        <f>$J$6</f>
        <v>0</v>
      </c>
      <c r="L6" s="87"/>
      <c r="M6" s="61"/>
      <c r="N6"/>
      <c r="O6"/>
      <c r="P6"/>
      <c r="Q6"/>
      <c r="R6"/>
      <c r="S6"/>
      <c r="T6"/>
      <c r="U6"/>
      <c r="V6"/>
      <c r="W6"/>
      <c r="X6" s="141"/>
      <c r="Y6" s="127"/>
    </row>
    <row r="7" spans="1:25" ht="25.5" customHeight="1" x14ac:dyDescent="0.25">
      <c r="A7" s="123"/>
      <c r="B7" s="62">
        <f>IF(C7=0,"",SUBTOTAL(3,$C$6:C7))</f>
        <v>2</v>
      </c>
      <c r="C7" s="63" t="str">
        <v>3/4"</v>
      </c>
      <c r="D7" s="64">
        <v>19.05</v>
      </c>
      <c r="E7" s="64">
        <v>100</v>
      </c>
      <c r="F7" s="85">
        <f t="shared" ref="F7:F17" si="0">IF(H7="","",100-K7)</f>
        <v>99.852941176470594</v>
      </c>
      <c r="G7" s="64">
        <v>90</v>
      </c>
      <c r="H7" s="78">
        <v>15</v>
      </c>
      <c r="I7" s="64">
        <f t="shared" ref="I7:I17" si="1">IF(OR($F$19="",H7=""),"",H7*$F$20)</f>
        <v>15.002941753284958</v>
      </c>
      <c r="J7" s="65">
        <f t="shared" ref="J7:J17" si="2">IF(H7="","",H7*100/$F$19)</f>
        <v>0.14705882352941177</v>
      </c>
      <c r="K7" s="65">
        <f>IF(H7="","",K6+J7)</f>
        <v>0.14705882352941177</v>
      </c>
      <c r="L7" s="87"/>
      <c r="M7" s="61"/>
      <c r="N7"/>
      <c r="O7"/>
      <c r="P7"/>
      <c r="Q7"/>
      <c r="R7"/>
      <c r="S7"/>
      <c r="T7"/>
      <c r="U7"/>
      <c r="V7"/>
      <c r="W7"/>
      <c r="X7" s="141"/>
      <c r="Y7" s="127"/>
    </row>
    <row r="8" spans="1:25" ht="25.5" customHeight="1" x14ac:dyDescent="0.25">
      <c r="A8" s="123"/>
      <c r="B8" s="62">
        <f>IF(C8=0,"",SUBTOTAL(3,$C$6:C8))</f>
        <v>3</v>
      </c>
      <c r="C8" s="63" t="str">
        <v>1/2"</v>
      </c>
      <c r="D8" s="85">
        <v>12.5</v>
      </c>
      <c r="E8" s="64">
        <v>90</v>
      </c>
      <c r="F8" s="85">
        <f t="shared" si="0"/>
        <v>98.67647058823529</v>
      </c>
      <c r="G8" s="64">
        <v>75</v>
      </c>
      <c r="H8" s="78">
        <v>120</v>
      </c>
      <c r="I8" s="64">
        <f t="shared" si="1"/>
        <v>120.02353402627966</v>
      </c>
      <c r="J8" s="65">
        <f t="shared" si="2"/>
        <v>1.1764705882352942</v>
      </c>
      <c r="K8" s="65">
        <f t="shared" ref="K8:K17" si="3">IF(H8="","",K7+J8)</f>
        <v>1.3235294117647058</v>
      </c>
      <c r="L8" s="87"/>
      <c r="M8" s="61"/>
      <c r="N8"/>
      <c r="O8"/>
      <c r="P8"/>
      <c r="Q8"/>
      <c r="R8"/>
      <c r="S8"/>
      <c r="T8"/>
      <c r="U8"/>
      <c r="V8"/>
      <c r="W8"/>
      <c r="X8" s="141"/>
      <c r="Y8" s="127"/>
    </row>
    <row r="9" spans="1:25" ht="25.5" customHeight="1" x14ac:dyDescent="0.25">
      <c r="A9" s="123"/>
      <c r="B9" s="62">
        <f>IF(C9=0,"",SUBTOTAL(3,$C$6:C9))</f>
        <v>4</v>
      </c>
      <c r="C9" s="63" t="str">
        <v>3/8"</v>
      </c>
      <c r="D9" s="85">
        <v>9.5</v>
      </c>
      <c r="E9" s="64">
        <v>80</v>
      </c>
      <c r="F9" s="85">
        <f t="shared" si="0"/>
        <v>97.333333333333329</v>
      </c>
      <c r="G9" s="64">
        <v>60</v>
      </c>
      <c r="H9" s="78">
        <v>137</v>
      </c>
      <c r="I9" s="64">
        <f t="shared" si="1"/>
        <v>137.02686801333596</v>
      </c>
      <c r="J9" s="65">
        <f t="shared" si="2"/>
        <v>1.3431372549019607</v>
      </c>
      <c r="K9" s="65">
        <f>IF(H9="","",K8+J9)</f>
        <v>2.6666666666666665</v>
      </c>
      <c r="L9" s="87"/>
      <c r="M9" s="61"/>
      <c r="N9"/>
      <c r="O9"/>
      <c r="P9"/>
      <c r="Q9"/>
      <c r="R9"/>
      <c r="S9"/>
      <c r="T9"/>
      <c r="U9"/>
      <c r="V9"/>
      <c r="W9"/>
      <c r="X9" s="141"/>
      <c r="Y9" s="127"/>
    </row>
    <row r="10" spans="1:25" ht="25.5" customHeight="1" x14ac:dyDescent="0.25">
      <c r="A10" s="123"/>
      <c r="B10" s="62">
        <f>IF(C10=0,"",SUBTOTAL(3,$C$6:C10))</f>
        <v>5</v>
      </c>
      <c r="C10" s="63" t="str">
        <v># 4</v>
      </c>
      <c r="D10" s="65">
        <v>4.75</v>
      </c>
      <c r="E10" s="64">
        <v>65</v>
      </c>
      <c r="F10" s="85">
        <f t="shared" si="0"/>
        <v>96.549019607843135</v>
      </c>
      <c r="G10" s="64">
        <v>45</v>
      </c>
      <c r="H10" s="78">
        <v>80</v>
      </c>
      <c r="I10" s="64">
        <f t="shared" si="1"/>
        <v>80.015689350853108</v>
      </c>
      <c r="J10" s="65">
        <f t="shared" si="2"/>
        <v>0.78431372549019607</v>
      </c>
      <c r="K10" s="65">
        <f>IF(H10="","",K9+J10)</f>
        <v>3.4509803921568625</v>
      </c>
      <c r="L10" s="88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109" t="s">
        <v>0</v>
      </c>
      <c r="Y10" s="127"/>
    </row>
    <row r="11" spans="1:25" ht="25.5" customHeight="1" x14ac:dyDescent="0.25">
      <c r="A11" s="123"/>
      <c r="B11" s="62">
        <f>IF(C11=0,"",SUBTOTAL(3,$C$6:C11))</f>
        <v>6</v>
      </c>
      <c r="C11" s="63" t="str">
        <v># 8</v>
      </c>
      <c r="D11" s="65">
        <v>2.36</v>
      </c>
      <c r="E11" s="64">
        <v>55</v>
      </c>
      <c r="F11" s="85">
        <f t="shared" si="0"/>
        <v>96.245098039215691</v>
      </c>
      <c r="G11" s="64">
        <v>35</v>
      </c>
      <c r="H11" s="78">
        <v>31</v>
      </c>
      <c r="I11" s="64">
        <f t="shared" si="1"/>
        <v>31.00607962345558</v>
      </c>
      <c r="J11" s="65">
        <f t="shared" si="2"/>
        <v>0.30392156862745096</v>
      </c>
      <c r="K11" s="65">
        <f t="shared" si="3"/>
        <v>3.7549019607843133</v>
      </c>
      <c r="L11" s="88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109"/>
      <c r="Y11" s="127"/>
    </row>
    <row r="12" spans="1:25" ht="25.5" customHeight="1" x14ac:dyDescent="0.25">
      <c r="A12" s="123"/>
      <c r="B12" s="62">
        <f>IF(C12=0,"",SUBTOTAL(3,$C$6:C12))</f>
        <v>7</v>
      </c>
      <c r="C12" s="63" t="str">
        <v># 16</v>
      </c>
      <c r="D12" s="65">
        <v>1.18</v>
      </c>
      <c r="E12" s="64">
        <v>40</v>
      </c>
      <c r="F12" s="85">
        <f t="shared" si="0"/>
        <v>94.431372549019613</v>
      </c>
      <c r="G12" s="64">
        <v>25</v>
      </c>
      <c r="H12" s="78">
        <v>185</v>
      </c>
      <c r="I12" s="64">
        <f t="shared" si="1"/>
        <v>185.03628162384783</v>
      </c>
      <c r="J12" s="65">
        <f t="shared" si="2"/>
        <v>1.8137254901960784</v>
      </c>
      <c r="K12" s="65">
        <f t="shared" si="3"/>
        <v>5.5686274509803919</v>
      </c>
      <c r="L12" s="88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109"/>
      <c r="Y12" s="127"/>
    </row>
    <row r="13" spans="1:25" ht="25.5" customHeight="1" x14ac:dyDescent="0.25">
      <c r="A13" s="123"/>
      <c r="B13" s="62">
        <f>IF(C13=0,"",SUBTOTAL(3,$C$6:C13))</f>
        <v>8</v>
      </c>
      <c r="C13" s="63" t="str">
        <v># 30</v>
      </c>
      <c r="D13" s="65">
        <v>0.6</v>
      </c>
      <c r="E13" s="64">
        <v>30</v>
      </c>
      <c r="F13" s="85">
        <f t="shared" si="0"/>
        <v>93.5</v>
      </c>
      <c r="G13" s="64">
        <v>15</v>
      </c>
      <c r="H13" s="78">
        <v>95</v>
      </c>
      <c r="I13" s="64">
        <f t="shared" si="1"/>
        <v>95.018631104138066</v>
      </c>
      <c r="J13" s="65">
        <f t="shared" si="2"/>
        <v>0.93137254901960786</v>
      </c>
      <c r="K13" s="65">
        <f t="shared" si="3"/>
        <v>6.5</v>
      </c>
      <c r="L13" s="88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109"/>
      <c r="Y13" s="127"/>
    </row>
    <row r="14" spans="1:25" ht="25.5" customHeight="1" x14ac:dyDescent="0.25">
      <c r="A14" s="123"/>
      <c r="B14" s="62">
        <f>IF(C14=0,"",SUBTOTAL(3,$C$6:C14))</f>
        <v>9</v>
      </c>
      <c r="C14" s="63" t="str">
        <v># 50</v>
      </c>
      <c r="D14" s="65">
        <v>0.3</v>
      </c>
      <c r="E14" s="64">
        <v>20</v>
      </c>
      <c r="F14" s="85">
        <f t="shared" si="0"/>
        <v>93.254901960784309</v>
      </c>
      <c r="G14" s="64">
        <v>10</v>
      </c>
      <c r="H14" s="78">
        <v>25</v>
      </c>
      <c r="I14" s="64">
        <f t="shared" si="1"/>
        <v>25.004902922141596</v>
      </c>
      <c r="J14" s="65">
        <f t="shared" si="2"/>
        <v>0.24509803921568626</v>
      </c>
      <c r="K14" s="65">
        <f t="shared" si="3"/>
        <v>6.7450980392156863</v>
      </c>
      <c r="L14" s="88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109"/>
      <c r="Y14" s="127"/>
    </row>
    <row r="15" spans="1:25" ht="25.5" customHeight="1" x14ac:dyDescent="0.25">
      <c r="A15" s="123"/>
      <c r="B15" s="62">
        <f>IF(C15=0,"",SUBTOTAL(3,$C$6:C15))</f>
        <v>10</v>
      </c>
      <c r="C15" s="63" t="str">
        <v># 100</v>
      </c>
      <c r="D15" s="84">
        <v>0.125</v>
      </c>
      <c r="E15" s="64">
        <v>10</v>
      </c>
      <c r="F15" s="85">
        <f t="shared" si="0"/>
        <v>93.107843137254903</v>
      </c>
      <c r="G15" s="64">
        <v>8</v>
      </c>
      <c r="H15" s="78">
        <v>15</v>
      </c>
      <c r="I15" s="64">
        <f t="shared" si="1"/>
        <v>15.002941753284958</v>
      </c>
      <c r="J15" s="65">
        <f t="shared" si="2"/>
        <v>0.14705882352941177</v>
      </c>
      <c r="K15" s="65">
        <f t="shared" si="3"/>
        <v>6.8921568627450984</v>
      </c>
      <c r="L15" s="88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109"/>
      <c r="Y15" s="127"/>
    </row>
    <row r="16" spans="1:25" ht="25.5" customHeight="1" x14ac:dyDescent="0.25">
      <c r="A16" s="123"/>
      <c r="B16" s="62">
        <f>IF(C16=0,"",SUBTOTAL(3,$C$6:C16))</f>
        <v>11</v>
      </c>
      <c r="C16" s="63" t="str">
        <v># 200</v>
      </c>
      <c r="D16" s="84">
        <v>7.4999999999999997E-2</v>
      </c>
      <c r="E16" s="64">
        <v>8</v>
      </c>
      <c r="F16" s="85">
        <f t="shared" si="0"/>
        <v>93.009803921568633</v>
      </c>
      <c r="G16" s="64">
        <v>5</v>
      </c>
      <c r="H16" s="78">
        <v>10</v>
      </c>
      <c r="I16" s="64">
        <f t="shared" si="1"/>
        <v>10.001961168856639</v>
      </c>
      <c r="J16" s="65">
        <f t="shared" si="2"/>
        <v>9.8039215686274508E-2</v>
      </c>
      <c r="K16" s="65">
        <f t="shared" si="3"/>
        <v>6.9901960784313726</v>
      </c>
      <c r="L16" s="88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109"/>
      <c r="Y16" s="127"/>
    </row>
    <row r="17" spans="1:25" ht="25.5" customHeight="1" thickBot="1" x14ac:dyDescent="0.3">
      <c r="A17" s="123"/>
      <c r="B17" s="62">
        <f>IF(C17=0,"",SUBTOTAL(3,$C$6:C17))</f>
        <v>12</v>
      </c>
      <c r="C17" s="63" t="str">
        <v># 400</v>
      </c>
      <c r="D17" s="84">
        <v>3.2000000000000001E-2</v>
      </c>
      <c r="E17" s="64">
        <v>4</v>
      </c>
      <c r="F17" s="85">
        <f t="shared" si="0"/>
        <v>92.960784313725497</v>
      </c>
      <c r="G17" s="64">
        <v>2</v>
      </c>
      <c r="H17" s="78">
        <v>5</v>
      </c>
      <c r="I17" s="64">
        <f t="shared" si="1"/>
        <v>5.0009805844283193</v>
      </c>
      <c r="J17" s="65">
        <f t="shared" si="2"/>
        <v>4.9019607843137254E-2</v>
      </c>
      <c r="K17" s="65">
        <f t="shared" si="3"/>
        <v>7.0392156862745097</v>
      </c>
      <c r="L17" s="88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109"/>
      <c r="Y17" s="127"/>
    </row>
    <row r="18" spans="1:25" ht="22.5" customHeight="1" thickBot="1" x14ac:dyDescent="0.6">
      <c r="A18" s="123"/>
      <c r="B18" s="115" t="s">
        <v>25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6"/>
      <c r="M18" s="115"/>
      <c r="N18" s="115"/>
      <c r="O18" s="117"/>
      <c r="P18" s="66"/>
      <c r="Q18" s="67"/>
      <c r="R18" s="68"/>
      <c r="S18" s="68"/>
      <c r="T18" s="68"/>
      <c r="U18" s="68"/>
      <c r="V18" s="69"/>
      <c r="W18" s="69"/>
      <c r="X18" s="70"/>
      <c r="Y18" s="127"/>
    </row>
    <row r="19" spans="1:25" ht="23.25" customHeight="1" thickTop="1" thickBot="1" x14ac:dyDescent="0.3">
      <c r="A19" s="124"/>
      <c r="B19" s="110" t="s">
        <v>30</v>
      </c>
      <c r="C19" s="111"/>
      <c r="D19" s="111"/>
      <c r="E19" s="111"/>
      <c r="F19" s="112">
        <v>10200</v>
      </c>
      <c r="G19" s="112"/>
      <c r="H19" s="112"/>
      <c r="I19" s="113" t="s">
        <v>31</v>
      </c>
      <c r="J19" s="113"/>
      <c r="K19" s="113"/>
      <c r="L19" s="113"/>
      <c r="M19" s="112">
        <v>10198</v>
      </c>
      <c r="N19" s="112"/>
      <c r="O19" s="114"/>
      <c r="P19" s="71" t="s">
        <v>57</v>
      </c>
      <c r="Q19" s="72"/>
      <c r="R19" s="73"/>
      <c r="S19" s="74" t="s">
        <v>1</v>
      </c>
      <c r="T19" s="75"/>
      <c r="U19" s="73"/>
      <c r="V19" s="76" t="s">
        <v>2</v>
      </c>
      <c r="W19" s="75"/>
      <c r="X19" s="77"/>
      <c r="Y19" s="127"/>
    </row>
    <row r="20" spans="1:25" ht="23.25" customHeight="1" thickBot="1" x14ac:dyDescent="0.3">
      <c r="A20" s="124"/>
      <c r="B20" s="101" t="s">
        <v>29</v>
      </c>
      <c r="C20" s="102"/>
      <c r="D20" s="102"/>
      <c r="E20" s="102"/>
      <c r="F20" s="103">
        <f>IFERROR(F19/M19,"؟")</f>
        <v>1.0001961168856639</v>
      </c>
      <c r="G20" s="103"/>
      <c r="H20" s="103"/>
      <c r="I20" s="104" t="s">
        <v>27</v>
      </c>
      <c r="J20" s="104"/>
      <c r="K20" s="104"/>
      <c r="L20" s="104"/>
      <c r="M20" s="105">
        <v>2</v>
      </c>
      <c r="N20" s="105"/>
      <c r="O20" s="106"/>
      <c r="P20" s="134" t="s">
        <v>59</v>
      </c>
      <c r="Q20" s="134"/>
      <c r="R20" s="134"/>
      <c r="S20" s="134"/>
      <c r="T20" s="134"/>
      <c r="U20" s="134"/>
      <c r="V20" s="134"/>
      <c r="W20" s="134"/>
      <c r="X20" s="135"/>
      <c r="Y20" s="127"/>
    </row>
    <row r="21" spans="1:25" ht="23.25" customHeight="1" thickBot="1" x14ac:dyDescent="0.3">
      <c r="A21" s="124"/>
      <c r="B21" s="107" t="s">
        <v>26</v>
      </c>
      <c r="C21" s="108"/>
      <c r="D21" s="108"/>
      <c r="E21" s="108"/>
      <c r="F21" s="89">
        <v>0.85</v>
      </c>
      <c r="G21" s="89"/>
      <c r="H21" s="89"/>
      <c r="I21" s="136" t="s">
        <v>28</v>
      </c>
      <c r="J21" s="136"/>
      <c r="K21" s="136"/>
      <c r="L21" s="136"/>
      <c r="M21" s="137">
        <v>0.08</v>
      </c>
      <c r="N21" s="137"/>
      <c r="O21" s="138"/>
      <c r="P21" s="134"/>
      <c r="Q21" s="134"/>
      <c r="R21" s="134"/>
      <c r="S21" s="134"/>
      <c r="T21" s="134"/>
      <c r="U21" s="134"/>
      <c r="V21" s="134"/>
      <c r="W21" s="134"/>
      <c r="X21" s="135"/>
      <c r="Y21" s="127"/>
    </row>
    <row r="22" spans="1:25" ht="23.25" customHeight="1" thickBot="1" x14ac:dyDescent="0.3">
      <c r="A22" s="124"/>
      <c r="B22" s="101" t="s">
        <v>38</v>
      </c>
      <c r="C22" s="102"/>
      <c r="D22" s="102"/>
      <c r="E22" s="102"/>
      <c r="F22" s="105">
        <v>2700</v>
      </c>
      <c r="G22" s="105"/>
      <c r="H22" s="105"/>
      <c r="I22" s="104" t="s">
        <v>39</v>
      </c>
      <c r="J22" s="104"/>
      <c r="K22" s="104"/>
      <c r="L22" s="104"/>
      <c r="M22" s="139">
        <v>0.06</v>
      </c>
      <c r="N22" s="139"/>
      <c r="O22" s="140"/>
      <c r="P22" s="134"/>
      <c r="Q22" s="134"/>
      <c r="R22" s="134"/>
      <c r="S22" s="134"/>
      <c r="T22" s="134"/>
      <c r="U22" s="134"/>
      <c r="V22" s="134"/>
      <c r="W22" s="134"/>
      <c r="X22" s="135"/>
      <c r="Y22" s="127"/>
    </row>
    <row r="23" spans="1:25" ht="23.25" customHeight="1" thickBot="1" x14ac:dyDescent="0.3">
      <c r="A23" s="125"/>
      <c r="B23" s="129" t="s">
        <v>40</v>
      </c>
      <c r="C23" s="130"/>
      <c r="D23" s="130"/>
      <c r="E23" s="130"/>
      <c r="F23" s="131"/>
      <c r="G23" s="131"/>
      <c r="H23" s="131"/>
      <c r="I23" s="130" t="s">
        <v>41</v>
      </c>
      <c r="J23" s="130"/>
      <c r="K23" s="130"/>
      <c r="L23" s="130"/>
      <c r="M23" s="132">
        <f>($F$17+$F$16)/$F$19</f>
        <v>1.8232410611303349E-2</v>
      </c>
      <c r="N23" s="132"/>
      <c r="O23" s="133"/>
      <c r="P23" s="134"/>
      <c r="Q23" s="134"/>
      <c r="R23" s="134"/>
      <c r="S23" s="134"/>
      <c r="T23" s="134"/>
      <c r="U23" s="134"/>
      <c r="V23" s="134"/>
      <c r="W23" s="134"/>
      <c r="X23" s="135"/>
      <c r="Y23" s="127"/>
    </row>
    <row r="24" spans="1:25" ht="9.75" customHeight="1" thickTop="1" thickBot="1" x14ac:dyDescent="0.3">
      <c r="A24" s="11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20"/>
      <c r="Q24" s="120"/>
      <c r="R24" s="120"/>
      <c r="S24" s="120"/>
      <c r="T24" s="120"/>
      <c r="U24" s="120"/>
      <c r="V24" s="120"/>
      <c r="W24" s="120"/>
      <c r="X24" s="121"/>
      <c r="Y24" s="128"/>
    </row>
    <row r="25" spans="1:25" ht="15.75" thickTop="1" x14ac:dyDescent="0.25"/>
  </sheetData>
  <mergeCells count="37">
    <mergeCell ref="A24:X24"/>
    <mergeCell ref="A1:A23"/>
    <mergeCell ref="B1:Y1"/>
    <mergeCell ref="Y2:Y24"/>
    <mergeCell ref="B23:E23"/>
    <mergeCell ref="F23:H23"/>
    <mergeCell ref="I23:L23"/>
    <mergeCell ref="M23:O23"/>
    <mergeCell ref="P20:X23"/>
    <mergeCell ref="I21:L21"/>
    <mergeCell ref="M21:O21"/>
    <mergeCell ref="B22:E22"/>
    <mergeCell ref="F22:H22"/>
    <mergeCell ref="I22:L22"/>
    <mergeCell ref="M22:O22"/>
    <mergeCell ref="X5:X9"/>
    <mergeCell ref="B19:E19"/>
    <mergeCell ref="F19:H19"/>
    <mergeCell ref="I19:L19"/>
    <mergeCell ref="M19:O19"/>
    <mergeCell ref="B18:O18"/>
    <mergeCell ref="L5:L9"/>
    <mergeCell ref="L10:L17"/>
    <mergeCell ref="F21:H21"/>
    <mergeCell ref="B2:X2"/>
    <mergeCell ref="G3:N3"/>
    <mergeCell ref="R3:T3"/>
    <mergeCell ref="U3:X3"/>
    <mergeCell ref="M4:W4"/>
    <mergeCell ref="B4:E4"/>
    <mergeCell ref="F4:K4"/>
    <mergeCell ref="B20:E20"/>
    <mergeCell ref="F20:H20"/>
    <mergeCell ref="I20:L20"/>
    <mergeCell ref="M20:O20"/>
    <mergeCell ref="B21:E21"/>
    <mergeCell ref="X10:X17"/>
  </mergeCells>
  <conditionalFormatting sqref="B6:K17">
    <cfRule type="expression" dxfId="1" priority="1">
      <formula>IF($H6="","",ISODD(ROW($H6)))</formula>
    </cfRule>
    <cfRule type="expression" dxfId="0" priority="2">
      <formula>IF($H6="","",ISEVEN(ROW($H6)))</formula>
    </cfRule>
  </conditionalFormatting>
  <printOptions horizontalCentered="1" verticalCentered="1"/>
  <pageMargins left="0" right="0" top="0" bottom="0" header="0" footer="0"/>
  <pageSetup paperSize="9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4284B8-966B-483E-BBC1-447101528B84}">
          <x14:formula1>
            <xm:f>'محور ها'!$I$5:$I$18</xm:f>
          </x14:formula1>
          <xm:sqref>F4:K4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31E7-1CC1-4B14-A803-599ACC4DC37E}">
  <dimension ref="B1:AS49"/>
  <sheetViews>
    <sheetView rightToLeft="1" topLeftCell="A31" zoomScale="60" zoomScaleNormal="60" workbookViewId="0">
      <selection activeCell="I31" sqref="I31"/>
    </sheetView>
  </sheetViews>
  <sheetFormatPr defaultRowHeight="15.75" x14ac:dyDescent="0.25"/>
  <cols>
    <col min="1" max="1" width="9.140625" style="1"/>
    <col min="2" max="2" width="17.7109375" style="1" customWidth="1"/>
    <col min="3" max="4" width="32.28515625" style="1" customWidth="1"/>
    <col min="5" max="6" width="42.7109375" style="1" customWidth="1"/>
    <col min="7" max="7" width="12.5703125" style="1" bestFit="1" customWidth="1"/>
    <col min="8" max="8" width="9.42578125" style="1" bestFit="1" customWidth="1"/>
    <col min="9" max="9" width="92.140625" style="1" customWidth="1"/>
    <col min="10" max="10" width="13" style="1" customWidth="1"/>
    <col min="11" max="13" width="13.28515625" style="1" customWidth="1"/>
    <col min="14" max="14" width="13" style="1" customWidth="1"/>
    <col min="15" max="15" width="13.28515625" style="1" customWidth="1"/>
    <col min="16" max="27" width="19.140625" style="1" customWidth="1"/>
    <col min="28" max="45" width="18" style="1" customWidth="1"/>
    <col min="46" max="16384" width="9.140625" style="1"/>
  </cols>
  <sheetData>
    <row r="1" spans="2:45" ht="21" customHeight="1" thickBot="1" x14ac:dyDescent="0.3"/>
    <row r="2" spans="2:45" ht="109.5" customHeight="1" thickTop="1" x14ac:dyDescent="0.25">
      <c r="B2" s="150" t="s">
        <v>52</v>
      </c>
      <c r="C2" s="151"/>
      <c r="D2" s="151"/>
      <c r="E2" s="152" t="str">
        <f>'شن و ماسه'!$F$4</f>
        <v xml:space="preserve"> استاندارد  شرکت کوثر بتن - شن و ماسه </v>
      </c>
      <c r="F2" s="153"/>
      <c r="G2" s="29"/>
      <c r="I2" s="17"/>
      <c r="J2" s="154" t="s">
        <v>33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6"/>
      <c r="V2" s="142" t="s">
        <v>55</v>
      </c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  <c r="AH2" s="142" t="s">
        <v>37</v>
      </c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4"/>
    </row>
    <row r="3" spans="2:45" ht="105" customHeight="1" x14ac:dyDescent="0.25">
      <c r="B3" s="32" t="s">
        <v>23</v>
      </c>
      <c r="C3" s="33" t="s">
        <v>53</v>
      </c>
      <c r="D3" s="33" t="s">
        <v>51</v>
      </c>
      <c r="E3" s="34" t="s">
        <v>37</v>
      </c>
      <c r="F3" s="35" t="s">
        <v>55</v>
      </c>
      <c r="I3" s="24" t="s">
        <v>15</v>
      </c>
      <c r="J3" s="42" t="s">
        <v>36</v>
      </c>
      <c r="K3" s="43" t="s">
        <v>22</v>
      </c>
      <c r="L3" s="43" t="s">
        <v>21</v>
      </c>
      <c r="M3" s="43" t="s">
        <v>20</v>
      </c>
      <c r="N3" s="43" t="s">
        <v>19</v>
      </c>
      <c r="O3" s="43" t="s">
        <v>18</v>
      </c>
      <c r="P3" s="43" t="s">
        <v>17</v>
      </c>
      <c r="Q3" s="43" t="s">
        <v>16</v>
      </c>
      <c r="R3" s="43" t="s">
        <v>6</v>
      </c>
      <c r="S3" s="43" t="s">
        <v>5</v>
      </c>
      <c r="T3" s="43" t="s">
        <v>4</v>
      </c>
      <c r="U3" s="44" t="s">
        <v>3</v>
      </c>
      <c r="V3" s="45" t="s">
        <v>36</v>
      </c>
      <c r="W3" s="46" t="s">
        <v>22</v>
      </c>
      <c r="X3" s="46" t="s">
        <v>21</v>
      </c>
      <c r="Y3" s="46" t="s">
        <v>20</v>
      </c>
      <c r="Z3" s="46" t="s">
        <v>19</v>
      </c>
      <c r="AA3" s="46" t="s">
        <v>18</v>
      </c>
      <c r="AB3" s="46" t="s">
        <v>17</v>
      </c>
      <c r="AC3" s="46" t="s">
        <v>16</v>
      </c>
      <c r="AD3" s="46" t="s">
        <v>6</v>
      </c>
      <c r="AE3" s="46" t="s">
        <v>5</v>
      </c>
      <c r="AF3" s="46" t="s">
        <v>4</v>
      </c>
      <c r="AG3" s="47" t="s">
        <v>3</v>
      </c>
      <c r="AH3" s="45" t="s">
        <v>36</v>
      </c>
      <c r="AI3" s="46" t="s">
        <v>22</v>
      </c>
      <c r="AJ3" s="46" t="s">
        <v>21</v>
      </c>
      <c r="AK3" s="46" t="s">
        <v>20</v>
      </c>
      <c r="AL3" s="46" t="s">
        <v>19</v>
      </c>
      <c r="AM3" s="46" t="s">
        <v>18</v>
      </c>
      <c r="AN3" s="46" t="s">
        <v>17</v>
      </c>
      <c r="AO3" s="46" t="s">
        <v>16</v>
      </c>
      <c r="AP3" s="46" t="s">
        <v>6</v>
      </c>
      <c r="AQ3" s="46" t="s">
        <v>5</v>
      </c>
      <c r="AR3" s="46" t="s">
        <v>4</v>
      </c>
      <c r="AS3" s="47" t="s">
        <v>3</v>
      </c>
    </row>
    <row r="4" spans="2:45" ht="75" customHeight="1" x14ac:dyDescent="0.25">
      <c r="B4" s="36">
        <v>1</v>
      </c>
      <c r="C4" s="30" t="s">
        <v>3</v>
      </c>
      <c r="D4" s="30">
        <v>25</v>
      </c>
      <c r="E4" s="31">
        <f>VLOOKUP($E$2,$I$3:$AS$18,37,FALSE)</f>
        <v>100</v>
      </c>
      <c r="F4" s="37">
        <f>VLOOKUP($E$2,$I$3:$AS$18,25,FALSE)</f>
        <v>100</v>
      </c>
      <c r="I4" s="18" t="s">
        <v>33</v>
      </c>
      <c r="J4" s="14">
        <v>3.2000000000000001E-2</v>
      </c>
      <c r="K4" s="15">
        <v>7.4999999999999997E-2</v>
      </c>
      <c r="L4" s="15">
        <v>0.125</v>
      </c>
      <c r="M4" s="15">
        <v>0.3</v>
      </c>
      <c r="N4" s="15">
        <v>0.6</v>
      </c>
      <c r="O4" s="15">
        <v>1.18</v>
      </c>
      <c r="P4" s="15">
        <v>2.36</v>
      </c>
      <c r="Q4" s="15">
        <v>4.75</v>
      </c>
      <c r="R4" s="15">
        <v>9.5</v>
      </c>
      <c r="S4" s="15">
        <v>12.5</v>
      </c>
      <c r="T4" s="15">
        <v>19</v>
      </c>
      <c r="U4" s="16">
        <v>25</v>
      </c>
      <c r="V4" s="14">
        <v>3.2000000000000001E-2</v>
      </c>
      <c r="W4" s="15">
        <v>7.4999999999999997E-2</v>
      </c>
      <c r="X4" s="15">
        <v>0.125</v>
      </c>
      <c r="Y4" s="15">
        <v>0.3</v>
      </c>
      <c r="Z4" s="15">
        <v>0.6</v>
      </c>
      <c r="AA4" s="15">
        <v>1.18</v>
      </c>
      <c r="AB4" s="15">
        <v>2.36</v>
      </c>
      <c r="AC4" s="15">
        <v>4.75</v>
      </c>
      <c r="AD4" s="15">
        <v>9.5</v>
      </c>
      <c r="AE4" s="15">
        <v>12.5</v>
      </c>
      <c r="AF4" s="15">
        <v>19</v>
      </c>
      <c r="AG4" s="16">
        <v>25</v>
      </c>
      <c r="AH4" s="14">
        <v>3.2000000000000001E-2</v>
      </c>
      <c r="AI4" s="15">
        <v>7.4999999999999997E-2</v>
      </c>
      <c r="AJ4" s="15">
        <v>0.125</v>
      </c>
      <c r="AK4" s="15">
        <v>0.3</v>
      </c>
      <c r="AL4" s="15">
        <v>0.6</v>
      </c>
      <c r="AM4" s="15">
        <v>1.18</v>
      </c>
      <c r="AN4" s="15">
        <v>2.36</v>
      </c>
      <c r="AO4" s="15">
        <v>4.75</v>
      </c>
      <c r="AP4" s="15">
        <v>9.5</v>
      </c>
      <c r="AQ4" s="15">
        <v>12.5</v>
      </c>
      <c r="AR4" s="15">
        <v>19</v>
      </c>
      <c r="AS4" s="16">
        <v>25</v>
      </c>
    </row>
    <row r="5" spans="2:45" ht="75" customHeight="1" x14ac:dyDescent="0.25">
      <c r="B5" s="36">
        <v>2</v>
      </c>
      <c r="C5" s="30" t="s">
        <v>4</v>
      </c>
      <c r="D5" s="30">
        <v>19.05</v>
      </c>
      <c r="E5" s="31">
        <f>VLOOKUP($E$2,$I$3:$AS$18,36,FALSE)</f>
        <v>100</v>
      </c>
      <c r="F5" s="37">
        <f>VLOOKUP($E$2,$I$3:$AS$18,24,FALSE)</f>
        <v>90</v>
      </c>
      <c r="I5" s="19" t="s">
        <v>54</v>
      </c>
      <c r="J5" s="2">
        <v>3.2000000000000001E-2</v>
      </c>
      <c r="K5" s="3">
        <v>7.4999999999999997E-2</v>
      </c>
      <c r="L5" s="3">
        <v>0.125</v>
      </c>
      <c r="M5" s="3">
        <v>0.3</v>
      </c>
      <c r="N5" s="3">
        <v>0.6</v>
      </c>
      <c r="O5" s="3">
        <v>1.18</v>
      </c>
      <c r="P5" s="3">
        <v>2.36</v>
      </c>
      <c r="Q5" s="3">
        <v>4.75</v>
      </c>
      <c r="R5" s="3">
        <v>9.5</v>
      </c>
      <c r="S5" s="3">
        <v>12.5</v>
      </c>
      <c r="T5" s="3">
        <v>19</v>
      </c>
      <c r="U5" s="4">
        <v>25</v>
      </c>
      <c r="V5" s="5">
        <v>2</v>
      </c>
      <c r="W5" s="6">
        <v>5</v>
      </c>
      <c r="X5" s="6">
        <v>8</v>
      </c>
      <c r="Y5" s="6">
        <v>10</v>
      </c>
      <c r="Z5" s="6">
        <v>15</v>
      </c>
      <c r="AA5" s="6">
        <v>25</v>
      </c>
      <c r="AB5" s="6">
        <v>35</v>
      </c>
      <c r="AC5" s="6">
        <v>45</v>
      </c>
      <c r="AD5" s="6">
        <v>60</v>
      </c>
      <c r="AE5" s="6">
        <v>75</v>
      </c>
      <c r="AF5" s="6">
        <v>90</v>
      </c>
      <c r="AG5" s="7">
        <v>100</v>
      </c>
      <c r="AH5" s="5">
        <v>4</v>
      </c>
      <c r="AI5" s="6">
        <v>8</v>
      </c>
      <c r="AJ5" s="6">
        <v>10</v>
      </c>
      <c r="AK5" s="6">
        <v>20</v>
      </c>
      <c r="AL5" s="6">
        <v>30</v>
      </c>
      <c r="AM5" s="6">
        <v>40</v>
      </c>
      <c r="AN5" s="6">
        <v>55</v>
      </c>
      <c r="AO5" s="6">
        <v>65</v>
      </c>
      <c r="AP5" s="6">
        <v>80</v>
      </c>
      <c r="AQ5" s="6">
        <v>90</v>
      </c>
      <c r="AR5" s="6">
        <v>100</v>
      </c>
      <c r="AS5" s="8">
        <v>100</v>
      </c>
    </row>
    <row r="6" spans="2:45" ht="75" customHeight="1" x14ac:dyDescent="0.25">
      <c r="B6" s="36">
        <v>3</v>
      </c>
      <c r="C6" s="30" t="s">
        <v>5</v>
      </c>
      <c r="D6" s="30">
        <v>12.5</v>
      </c>
      <c r="E6" s="31">
        <f>VLOOKUP($E$2,$I$3:$AS$18,35,FALSE)</f>
        <v>90</v>
      </c>
      <c r="F6" s="37">
        <f>VLOOKUP($E$2,$I$3:$AS$18,23,FALSE)</f>
        <v>75</v>
      </c>
      <c r="I6" s="19" t="s">
        <v>34</v>
      </c>
      <c r="J6" s="5"/>
      <c r="K6" s="6"/>
      <c r="L6" s="6">
        <v>0.15</v>
      </c>
      <c r="M6" s="9">
        <v>0.3</v>
      </c>
      <c r="N6" s="9">
        <v>0.6</v>
      </c>
      <c r="O6" s="9">
        <v>1.18</v>
      </c>
      <c r="P6" s="6">
        <v>2.36</v>
      </c>
      <c r="Q6" s="9">
        <v>4.75</v>
      </c>
      <c r="R6" s="9">
        <v>9.5</v>
      </c>
      <c r="S6" s="6"/>
      <c r="T6" s="6"/>
      <c r="U6" s="7"/>
      <c r="V6" s="5">
        <v>2</v>
      </c>
      <c r="W6" s="6">
        <v>5</v>
      </c>
      <c r="X6" s="25">
        <v>10</v>
      </c>
      <c r="Y6" s="6">
        <v>30</v>
      </c>
      <c r="Z6" s="6">
        <v>60</v>
      </c>
      <c r="AA6" s="6">
        <v>85</v>
      </c>
      <c r="AB6" s="6">
        <v>100</v>
      </c>
      <c r="AC6" s="6">
        <v>100</v>
      </c>
      <c r="AD6" s="6">
        <v>100</v>
      </c>
      <c r="AE6" s="6"/>
      <c r="AF6" s="6"/>
      <c r="AG6" s="7"/>
      <c r="AH6" s="5">
        <v>2</v>
      </c>
      <c r="AI6" s="6">
        <v>4</v>
      </c>
      <c r="AJ6" s="6">
        <v>8</v>
      </c>
      <c r="AK6" s="6">
        <v>10</v>
      </c>
      <c r="AL6" s="6">
        <v>25</v>
      </c>
      <c r="AM6" s="6">
        <v>50</v>
      </c>
      <c r="AN6" s="6">
        <v>80</v>
      </c>
      <c r="AO6" s="6">
        <v>95</v>
      </c>
      <c r="AP6" s="6">
        <v>100</v>
      </c>
      <c r="AQ6" s="6"/>
      <c r="AR6" s="6"/>
      <c r="AS6" s="8"/>
    </row>
    <row r="7" spans="2:45" ht="42.75" x14ac:dyDescent="0.25">
      <c r="B7" s="36">
        <v>4</v>
      </c>
      <c r="C7" s="30" t="s">
        <v>6</v>
      </c>
      <c r="D7" s="30">
        <v>9.5</v>
      </c>
      <c r="E7" s="31">
        <f>VLOOKUP($E$2,$I$3:$AS$18,34,FALSE)</f>
        <v>80</v>
      </c>
      <c r="F7" s="37">
        <f>VLOOKUP($E$2,$I$3:$AS$18,22,FALSE)</f>
        <v>60</v>
      </c>
      <c r="I7" s="19" t="s">
        <v>12</v>
      </c>
      <c r="J7" s="5"/>
      <c r="K7" s="6"/>
      <c r="L7" s="6">
        <v>0.15</v>
      </c>
      <c r="M7" s="9">
        <v>0.3</v>
      </c>
      <c r="N7" s="9">
        <v>0.6</v>
      </c>
      <c r="O7" s="9">
        <v>1.18</v>
      </c>
      <c r="P7" s="6">
        <v>2.36</v>
      </c>
      <c r="Q7" s="9">
        <v>4.75</v>
      </c>
      <c r="R7" s="9">
        <v>9.5</v>
      </c>
      <c r="S7" s="6"/>
      <c r="T7" s="6"/>
      <c r="U7" s="7"/>
      <c r="V7" s="5">
        <v>2</v>
      </c>
      <c r="W7" s="6">
        <v>5</v>
      </c>
      <c r="X7" s="25">
        <v>10</v>
      </c>
      <c r="Y7" s="6">
        <v>30</v>
      </c>
      <c r="Z7" s="6">
        <v>60</v>
      </c>
      <c r="AA7" s="6">
        <v>85</v>
      </c>
      <c r="AB7" s="6">
        <v>100</v>
      </c>
      <c r="AC7" s="6">
        <v>100</v>
      </c>
      <c r="AD7" s="6">
        <v>100</v>
      </c>
      <c r="AE7" s="6"/>
      <c r="AF7" s="6"/>
      <c r="AG7" s="7"/>
      <c r="AH7" s="5">
        <v>0</v>
      </c>
      <c r="AI7" s="6">
        <v>4</v>
      </c>
      <c r="AJ7" s="6">
        <v>8</v>
      </c>
      <c r="AK7" s="6">
        <v>15</v>
      </c>
      <c r="AL7" s="6">
        <v>25</v>
      </c>
      <c r="AM7" s="6">
        <v>50</v>
      </c>
      <c r="AN7" s="6">
        <v>80</v>
      </c>
      <c r="AO7" s="6">
        <v>95</v>
      </c>
      <c r="AP7" s="6">
        <v>100</v>
      </c>
      <c r="AQ7" s="6"/>
      <c r="AR7" s="6"/>
      <c r="AS7" s="8"/>
    </row>
    <row r="8" spans="2:45" ht="42.75" x14ac:dyDescent="0.25">
      <c r="B8" s="36">
        <v>5</v>
      </c>
      <c r="C8" s="30" t="s">
        <v>16</v>
      </c>
      <c r="D8" s="30">
        <v>4.75</v>
      </c>
      <c r="E8" s="31">
        <f>VLOOKUP($E$2,$I$3:$AS$18,33,FALSE)</f>
        <v>65</v>
      </c>
      <c r="F8" s="37">
        <f>VLOOKUP($E$2,$I$3:$AS$18,21,FALSE)</f>
        <v>45</v>
      </c>
      <c r="I8" s="19" t="s">
        <v>32</v>
      </c>
      <c r="J8" s="5"/>
      <c r="K8" s="6"/>
      <c r="L8" s="6">
        <v>0.15</v>
      </c>
      <c r="M8" s="9">
        <v>0.3</v>
      </c>
      <c r="N8" s="9">
        <v>0.6</v>
      </c>
      <c r="O8" s="9">
        <v>1.18</v>
      </c>
      <c r="P8" s="6">
        <v>2.36</v>
      </c>
      <c r="Q8" s="9">
        <v>4.75</v>
      </c>
      <c r="R8" s="9">
        <v>9.5</v>
      </c>
      <c r="S8" s="6"/>
      <c r="T8" s="6"/>
      <c r="U8" s="7"/>
      <c r="V8" s="5">
        <v>2</v>
      </c>
      <c r="W8" s="6">
        <v>5</v>
      </c>
      <c r="X8" s="25">
        <v>15</v>
      </c>
      <c r="Y8" s="6">
        <v>40</v>
      </c>
      <c r="Z8" s="6">
        <v>54</v>
      </c>
      <c r="AA8" s="6">
        <v>90</v>
      </c>
      <c r="AB8" s="6">
        <v>100</v>
      </c>
      <c r="AC8" s="6">
        <v>100</v>
      </c>
      <c r="AD8" s="6">
        <v>100</v>
      </c>
      <c r="AE8" s="6"/>
      <c r="AF8" s="6"/>
      <c r="AG8" s="7"/>
      <c r="AH8" s="5">
        <v>0</v>
      </c>
      <c r="AI8" s="6">
        <v>4</v>
      </c>
      <c r="AJ8" s="6">
        <v>8</v>
      </c>
      <c r="AK8" s="6">
        <v>15</v>
      </c>
      <c r="AL8" s="6">
        <v>20</v>
      </c>
      <c r="AM8" s="6">
        <v>30</v>
      </c>
      <c r="AN8" s="6">
        <v>60</v>
      </c>
      <c r="AO8" s="6">
        <v>89</v>
      </c>
      <c r="AP8" s="6">
        <v>100</v>
      </c>
      <c r="AQ8" s="6"/>
      <c r="AR8" s="6"/>
      <c r="AS8" s="8"/>
    </row>
    <row r="9" spans="2:45" ht="42.75" x14ac:dyDescent="0.25">
      <c r="B9" s="36">
        <v>6</v>
      </c>
      <c r="C9" s="30" t="s">
        <v>17</v>
      </c>
      <c r="D9" s="30">
        <v>2.36</v>
      </c>
      <c r="E9" s="31">
        <f>VLOOKUP($E$2,$I$3:$AS$18,32,FALSE)</f>
        <v>55</v>
      </c>
      <c r="F9" s="37">
        <f>VLOOKUP($E$2,$I$3:$AS$18,20,FALSE)</f>
        <v>35</v>
      </c>
      <c r="I9" s="19" t="s">
        <v>48</v>
      </c>
      <c r="J9" s="5"/>
      <c r="K9" s="6"/>
      <c r="L9" s="6"/>
      <c r="M9" s="6"/>
      <c r="N9" s="6"/>
      <c r="O9" s="6"/>
      <c r="P9" s="6">
        <v>2.36</v>
      </c>
      <c r="Q9" s="6">
        <v>4.75</v>
      </c>
      <c r="R9" s="6"/>
      <c r="S9" s="6">
        <v>12.5</v>
      </c>
      <c r="T9" s="6"/>
      <c r="U9" s="7">
        <v>25</v>
      </c>
      <c r="V9" s="5"/>
      <c r="W9" s="6"/>
      <c r="X9" s="6"/>
      <c r="Y9" s="6"/>
      <c r="Z9" s="25"/>
      <c r="AA9" s="6"/>
      <c r="AB9" s="6">
        <v>10</v>
      </c>
      <c r="AC9" s="6">
        <v>60</v>
      </c>
      <c r="AD9" s="6"/>
      <c r="AE9" s="6">
        <v>100</v>
      </c>
      <c r="AF9" s="6"/>
      <c r="AG9" s="6">
        <v>100</v>
      </c>
      <c r="AH9" s="5"/>
      <c r="AI9" s="6"/>
      <c r="AJ9" s="6"/>
      <c r="AK9" s="6"/>
      <c r="AL9" s="6"/>
      <c r="AM9" s="6"/>
      <c r="AN9" s="25">
        <v>0</v>
      </c>
      <c r="AO9" s="6">
        <v>0</v>
      </c>
      <c r="AP9" s="6"/>
      <c r="AQ9" s="6">
        <v>20</v>
      </c>
      <c r="AR9" s="6"/>
      <c r="AS9" s="6">
        <v>95</v>
      </c>
    </row>
    <row r="10" spans="2:45" ht="42.75" x14ac:dyDescent="0.25">
      <c r="B10" s="36">
        <v>7</v>
      </c>
      <c r="C10" s="30" t="s">
        <v>18</v>
      </c>
      <c r="D10" s="30">
        <v>1.18</v>
      </c>
      <c r="E10" s="31">
        <f>VLOOKUP($E$2,$I$3:$AS$18,31,FALSE)</f>
        <v>40</v>
      </c>
      <c r="F10" s="37">
        <f>VLOOKUP($E$2,$I$3:$AS$18,19,FALSE)</f>
        <v>25</v>
      </c>
      <c r="I10" s="19" t="s">
        <v>7</v>
      </c>
      <c r="J10" s="5"/>
      <c r="K10" s="6"/>
      <c r="L10" s="6"/>
      <c r="M10" s="6"/>
      <c r="N10" s="6"/>
      <c r="O10" s="6"/>
      <c r="P10" s="6">
        <v>2.36</v>
      </c>
      <c r="Q10" s="6">
        <v>4.75</v>
      </c>
      <c r="R10" s="6"/>
      <c r="S10" s="6">
        <v>12.5</v>
      </c>
      <c r="T10" s="6"/>
      <c r="U10" s="7">
        <v>25</v>
      </c>
      <c r="V10" s="5"/>
      <c r="W10" s="6"/>
      <c r="X10" s="6"/>
      <c r="Y10" s="6"/>
      <c r="Z10" s="25"/>
      <c r="AA10" s="6"/>
      <c r="AB10" s="6">
        <v>10</v>
      </c>
      <c r="AC10" s="6">
        <v>65</v>
      </c>
      <c r="AD10" s="6"/>
      <c r="AE10" s="6">
        <v>100</v>
      </c>
      <c r="AF10" s="6"/>
      <c r="AG10" s="6">
        <v>100</v>
      </c>
      <c r="AH10" s="5"/>
      <c r="AI10" s="6"/>
      <c r="AJ10" s="6"/>
      <c r="AK10" s="6"/>
      <c r="AL10" s="6"/>
      <c r="AM10" s="6"/>
      <c r="AN10" s="25">
        <v>0</v>
      </c>
      <c r="AO10" s="6">
        <v>0</v>
      </c>
      <c r="AP10" s="6"/>
      <c r="AQ10" s="6">
        <v>25</v>
      </c>
      <c r="AR10" s="6"/>
      <c r="AS10" s="6">
        <v>95</v>
      </c>
    </row>
    <row r="11" spans="2:45" ht="42.75" x14ac:dyDescent="0.25">
      <c r="B11" s="36">
        <v>8</v>
      </c>
      <c r="C11" s="30" t="s">
        <v>19</v>
      </c>
      <c r="D11" s="30">
        <v>0.6</v>
      </c>
      <c r="E11" s="31">
        <f>VLOOKUP($E$2,$I$3:$AS$18,30,FALSE)</f>
        <v>30</v>
      </c>
      <c r="F11" s="37">
        <f>VLOOKUP($E$2,$I$3:$AS$18,18,FALSE)</f>
        <v>15</v>
      </c>
      <c r="I11" s="19" t="s">
        <v>49</v>
      </c>
      <c r="J11" s="5"/>
      <c r="K11" s="6"/>
      <c r="L11" s="6"/>
      <c r="M11" s="6"/>
      <c r="N11" s="6"/>
      <c r="O11" s="6"/>
      <c r="P11" s="6">
        <v>2.36</v>
      </c>
      <c r="Q11" s="6">
        <v>4.75</v>
      </c>
      <c r="R11" s="6">
        <v>9.5</v>
      </c>
      <c r="S11" s="6"/>
      <c r="T11" s="6">
        <v>19</v>
      </c>
      <c r="U11" s="7">
        <v>25</v>
      </c>
      <c r="V11" s="5"/>
      <c r="W11" s="6"/>
      <c r="X11" s="6"/>
      <c r="Y11" s="6"/>
      <c r="Z11" s="6"/>
      <c r="AA11" s="6"/>
      <c r="AB11" s="25">
        <v>5</v>
      </c>
      <c r="AC11" s="6">
        <v>10</v>
      </c>
      <c r="AD11" s="6">
        <v>55</v>
      </c>
      <c r="AE11" s="6"/>
      <c r="AF11" s="6">
        <v>100</v>
      </c>
      <c r="AG11" s="6">
        <v>100</v>
      </c>
      <c r="AH11" s="5"/>
      <c r="AI11" s="6"/>
      <c r="AJ11" s="6"/>
      <c r="AK11" s="6"/>
      <c r="AL11" s="6"/>
      <c r="AM11" s="6"/>
      <c r="AN11" s="25">
        <v>0</v>
      </c>
      <c r="AO11" s="6">
        <v>0</v>
      </c>
      <c r="AP11" s="6">
        <v>20</v>
      </c>
      <c r="AQ11" s="6"/>
      <c r="AR11" s="6">
        <v>90</v>
      </c>
      <c r="AS11" s="6">
        <v>100</v>
      </c>
    </row>
    <row r="12" spans="2:45" ht="42.75" x14ac:dyDescent="0.25">
      <c r="B12" s="36">
        <v>9</v>
      </c>
      <c r="C12" s="30" t="s">
        <v>20</v>
      </c>
      <c r="D12" s="30">
        <v>0.3</v>
      </c>
      <c r="E12" s="31">
        <f>VLOOKUP($E$2,$I$3:$AS$18,29,FALSE)</f>
        <v>20</v>
      </c>
      <c r="F12" s="37">
        <f>VLOOKUP($E$2,$I$3:$AS$18,17,FALSE)</f>
        <v>10</v>
      </c>
      <c r="I12" s="19" t="s">
        <v>44</v>
      </c>
      <c r="J12" s="5"/>
      <c r="K12" s="6"/>
      <c r="L12" s="6"/>
      <c r="M12" s="6"/>
      <c r="N12" s="6"/>
      <c r="O12" s="6"/>
      <c r="P12" s="6">
        <v>2.36</v>
      </c>
      <c r="Q12" s="6">
        <v>4.75</v>
      </c>
      <c r="R12" s="6">
        <v>9.5</v>
      </c>
      <c r="S12" s="6"/>
      <c r="T12" s="6">
        <v>19</v>
      </c>
      <c r="U12" s="7">
        <v>25</v>
      </c>
      <c r="V12" s="5"/>
      <c r="W12" s="6"/>
      <c r="X12" s="6"/>
      <c r="Y12" s="6"/>
      <c r="Z12" s="6"/>
      <c r="AA12" s="6"/>
      <c r="AB12" s="25">
        <v>5</v>
      </c>
      <c r="AC12" s="6">
        <v>10</v>
      </c>
      <c r="AD12" s="6">
        <v>55</v>
      </c>
      <c r="AE12" s="6"/>
      <c r="AF12" s="6">
        <v>100</v>
      </c>
      <c r="AG12" s="6">
        <v>100</v>
      </c>
      <c r="AH12" s="5"/>
      <c r="AI12" s="6"/>
      <c r="AJ12" s="6"/>
      <c r="AK12" s="6"/>
      <c r="AL12" s="6"/>
      <c r="AM12" s="6"/>
      <c r="AN12" s="25">
        <v>0</v>
      </c>
      <c r="AO12" s="6">
        <v>0</v>
      </c>
      <c r="AP12" s="6">
        <v>20</v>
      </c>
      <c r="AQ12" s="6"/>
      <c r="AR12" s="6">
        <v>90</v>
      </c>
      <c r="AS12" s="6">
        <v>100</v>
      </c>
    </row>
    <row r="13" spans="2:45" ht="42.75" x14ac:dyDescent="0.25">
      <c r="B13" s="36">
        <v>10</v>
      </c>
      <c r="C13" s="30" t="s">
        <v>21</v>
      </c>
      <c r="D13" s="30">
        <v>0.125</v>
      </c>
      <c r="E13" s="31">
        <f>VLOOKUP($E$2,$I$3:$AS$18,28,FALSE)</f>
        <v>10</v>
      </c>
      <c r="F13" s="37">
        <f>VLOOKUP($E$2,$I$3:$AS$18,16,FALSE)</f>
        <v>8</v>
      </c>
      <c r="I13" s="20" t="s">
        <v>50</v>
      </c>
      <c r="J13" s="5"/>
      <c r="K13" s="6"/>
      <c r="L13" s="6"/>
      <c r="M13" s="6"/>
      <c r="N13" s="6"/>
      <c r="O13" s="6"/>
      <c r="P13" s="6">
        <v>2.36</v>
      </c>
      <c r="Q13" s="6">
        <v>4.75</v>
      </c>
      <c r="R13" s="6">
        <v>9.5</v>
      </c>
      <c r="S13" s="6">
        <v>12.5</v>
      </c>
      <c r="T13" s="6">
        <v>19</v>
      </c>
      <c r="U13" s="7"/>
      <c r="V13" s="5"/>
      <c r="W13" s="6"/>
      <c r="X13" s="6"/>
      <c r="Y13" s="6"/>
      <c r="Z13" s="6"/>
      <c r="AA13" s="11"/>
      <c r="AB13" s="26">
        <v>5</v>
      </c>
      <c r="AC13" s="11">
        <v>15</v>
      </c>
      <c r="AD13" s="11">
        <v>70</v>
      </c>
      <c r="AE13" s="11">
        <v>100</v>
      </c>
      <c r="AF13" s="11">
        <v>100</v>
      </c>
      <c r="AG13" s="12"/>
      <c r="AH13" s="5"/>
      <c r="AI13" s="6"/>
      <c r="AJ13" s="6"/>
      <c r="AK13" s="6"/>
      <c r="AL13" s="6"/>
      <c r="AM13" s="11"/>
      <c r="AN13" s="26">
        <v>0</v>
      </c>
      <c r="AO13" s="11">
        <v>0</v>
      </c>
      <c r="AP13" s="11">
        <v>40</v>
      </c>
      <c r="AQ13" s="11">
        <v>90</v>
      </c>
      <c r="AR13" s="11">
        <v>100</v>
      </c>
      <c r="AS13" s="13"/>
    </row>
    <row r="14" spans="2:45" ht="79.5" x14ac:dyDescent="0.25">
      <c r="B14" s="36">
        <v>11</v>
      </c>
      <c r="C14" s="30" t="s">
        <v>22</v>
      </c>
      <c r="D14" s="30">
        <v>7.4999999999999997E-2</v>
      </c>
      <c r="E14" s="31">
        <f>VLOOKUP($E$2,$I$3:$AS$18,27,FALSE)</f>
        <v>8</v>
      </c>
      <c r="F14" s="37">
        <f>VLOOKUP($E$2,$I$3:$AS$18,15,FALSE)</f>
        <v>5</v>
      </c>
      <c r="I14" s="19" t="s">
        <v>45</v>
      </c>
      <c r="J14" s="5"/>
      <c r="K14" s="6"/>
      <c r="L14" s="6"/>
      <c r="M14" s="6"/>
      <c r="N14" s="6"/>
      <c r="O14" s="6"/>
      <c r="P14" s="6">
        <v>2.36</v>
      </c>
      <c r="Q14" s="6">
        <v>4.75</v>
      </c>
      <c r="R14" s="6">
        <v>9.5</v>
      </c>
      <c r="S14" s="6">
        <v>12.5</v>
      </c>
      <c r="T14" s="6">
        <v>19</v>
      </c>
      <c r="U14" s="7"/>
      <c r="V14" s="5"/>
      <c r="W14" s="6"/>
      <c r="X14" s="6"/>
      <c r="Y14" s="6"/>
      <c r="Z14" s="6"/>
      <c r="AA14" s="6"/>
      <c r="AB14" s="25">
        <v>5</v>
      </c>
      <c r="AC14" s="6">
        <v>15</v>
      </c>
      <c r="AD14" s="6">
        <v>70</v>
      </c>
      <c r="AE14" s="6">
        <v>100</v>
      </c>
      <c r="AF14" s="6">
        <v>100</v>
      </c>
      <c r="AG14" s="7"/>
      <c r="AH14" s="5"/>
      <c r="AI14" s="6"/>
      <c r="AJ14" s="6"/>
      <c r="AK14" s="6"/>
      <c r="AL14" s="6"/>
      <c r="AM14" s="6"/>
      <c r="AN14" s="25">
        <v>0</v>
      </c>
      <c r="AO14" s="6">
        <v>0</v>
      </c>
      <c r="AP14" s="6">
        <v>40</v>
      </c>
      <c r="AQ14" s="6">
        <v>90</v>
      </c>
      <c r="AR14" s="6">
        <v>100</v>
      </c>
      <c r="AS14" s="8"/>
    </row>
    <row r="15" spans="2:45" ht="42.75" x14ac:dyDescent="0.25">
      <c r="B15" s="38">
        <v>12</v>
      </c>
      <c r="C15" s="39" t="s">
        <v>36</v>
      </c>
      <c r="D15" s="39">
        <v>3.2000000000000001E-2</v>
      </c>
      <c r="E15" s="40">
        <f>VLOOKUP($E$2,$I$3:$AS$18,26,FALSE)</f>
        <v>4</v>
      </c>
      <c r="F15" s="41">
        <f>VLOOKUP($E$2,$I$3:$AS$18,14,FALSE)</f>
        <v>2</v>
      </c>
      <c r="I15" s="19" t="s">
        <v>46</v>
      </c>
      <c r="J15" s="5"/>
      <c r="K15" s="6"/>
      <c r="L15" s="6"/>
      <c r="M15" s="27"/>
      <c r="N15" s="27"/>
      <c r="O15" s="6"/>
      <c r="P15" s="6"/>
      <c r="Q15" s="6">
        <v>4.75</v>
      </c>
      <c r="R15" s="6"/>
      <c r="S15" s="6">
        <v>12.5</v>
      </c>
      <c r="T15" s="6"/>
      <c r="U15" s="7">
        <v>25</v>
      </c>
      <c r="V15" s="5"/>
      <c r="W15" s="6"/>
      <c r="X15" s="6"/>
      <c r="Y15" s="6"/>
      <c r="Z15" s="6"/>
      <c r="AA15" s="6"/>
      <c r="AB15" s="6"/>
      <c r="AC15" s="25">
        <v>5</v>
      </c>
      <c r="AD15" s="6"/>
      <c r="AE15" s="6">
        <v>30</v>
      </c>
      <c r="AF15" s="6"/>
      <c r="AG15" s="6">
        <v>70</v>
      </c>
      <c r="AH15" s="5"/>
      <c r="AI15" s="6"/>
      <c r="AJ15" s="6"/>
      <c r="AK15" s="6"/>
      <c r="AL15" s="6"/>
      <c r="AM15" s="6"/>
      <c r="AN15" s="6"/>
      <c r="AO15" s="25">
        <v>0</v>
      </c>
      <c r="AP15" s="6"/>
      <c r="AQ15" s="6">
        <v>10</v>
      </c>
      <c r="AR15" s="6"/>
      <c r="AS15" s="6">
        <v>35</v>
      </c>
    </row>
    <row r="16" spans="2:45" ht="39.75" x14ac:dyDescent="0.25">
      <c r="I16" s="19" t="s">
        <v>42</v>
      </c>
      <c r="J16" s="5"/>
      <c r="K16" s="6"/>
      <c r="L16" s="6"/>
      <c r="M16" s="27"/>
      <c r="N16" s="27"/>
      <c r="O16" s="6"/>
      <c r="P16" s="6"/>
      <c r="Q16" s="6">
        <v>4.75</v>
      </c>
      <c r="R16" s="6"/>
      <c r="S16" s="6">
        <v>12.5</v>
      </c>
      <c r="T16" s="6"/>
      <c r="U16" s="7">
        <v>25</v>
      </c>
      <c r="V16" s="5"/>
      <c r="W16" s="6"/>
      <c r="X16" s="6"/>
      <c r="Y16" s="6"/>
      <c r="Z16" s="6"/>
      <c r="AA16" s="6"/>
      <c r="AB16" s="6"/>
      <c r="AC16" s="25">
        <v>5</v>
      </c>
      <c r="AD16" s="6"/>
      <c r="AE16" s="6">
        <v>30</v>
      </c>
      <c r="AF16" s="6"/>
      <c r="AG16" s="6">
        <v>70</v>
      </c>
      <c r="AH16" s="5"/>
      <c r="AI16" s="6"/>
      <c r="AJ16" s="6"/>
      <c r="AK16" s="6"/>
      <c r="AL16" s="6"/>
      <c r="AM16" s="6"/>
      <c r="AN16" s="6"/>
      <c r="AO16" s="25">
        <v>0</v>
      </c>
      <c r="AP16" s="6"/>
      <c r="AQ16" s="6">
        <v>10</v>
      </c>
      <c r="AR16" s="6"/>
      <c r="AS16" s="6">
        <v>25</v>
      </c>
    </row>
    <row r="17" spans="3:45" ht="39.75" x14ac:dyDescent="0.25">
      <c r="E17"/>
      <c r="F17"/>
      <c r="I17" s="19" t="s">
        <v>47</v>
      </c>
      <c r="J17" s="5"/>
      <c r="K17" s="6"/>
      <c r="L17" s="6"/>
      <c r="M17" s="27"/>
      <c r="N17" s="27"/>
      <c r="O17" s="6"/>
      <c r="P17" s="6"/>
      <c r="Q17" s="6">
        <v>4.75</v>
      </c>
      <c r="R17" s="6">
        <v>9.5</v>
      </c>
      <c r="S17" s="6"/>
      <c r="T17" s="6">
        <v>19</v>
      </c>
      <c r="U17" s="7"/>
      <c r="V17" s="5"/>
      <c r="W17" s="6"/>
      <c r="X17" s="6"/>
      <c r="Y17" s="6"/>
      <c r="Z17" s="6"/>
      <c r="AA17" s="6"/>
      <c r="AB17" s="6"/>
      <c r="AC17" s="25">
        <v>5</v>
      </c>
      <c r="AD17" s="6">
        <v>30</v>
      </c>
      <c r="AE17" s="6"/>
      <c r="AF17" s="6">
        <v>70</v>
      </c>
      <c r="AG17" s="7"/>
      <c r="AH17" s="5"/>
      <c r="AI17" s="6"/>
      <c r="AJ17" s="6"/>
      <c r="AK17" s="6"/>
      <c r="AL17" s="6"/>
      <c r="AM17" s="6"/>
      <c r="AN17" s="6"/>
      <c r="AO17" s="25">
        <v>0</v>
      </c>
      <c r="AP17" s="6">
        <v>10</v>
      </c>
      <c r="AQ17" s="6"/>
      <c r="AR17" s="6">
        <v>35</v>
      </c>
      <c r="AS17" s="8"/>
    </row>
    <row r="18" spans="3:45" ht="80.25" thickBot="1" x14ac:dyDescent="0.3">
      <c r="C18" s="149" t="s">
        <v>60</v>
      </c>
      <c r="D18" s="149"/>
      <c r="E18" s="149"/>
      <c r="F18"/>
      <c r="I18" s="20" t="s">
        <v>43</v>
      </c>
      <c r="J18" s="21"/>
      <c r="K18" s="22"/>
      <c r="L18" s="22"/>
      <c r="M18" s="28"/>
      <c r="N18" s="28"/>
      <c r="O18" s="22"/>
      <c r="P18" s="22"/>
      <c r="Q18" s="22">
        <v>4.75</v>
      </c>
      <c r="R18" s="22">
        <v>9.5</v>
      </c>
      <c r="S18" s="22"/>
      <c r="T18" s="22">
        <v>19</v>
      </c>
      <c r="U18" s="23"/>
      <c r="V18" s="10"/>
      <c r="W18" s="11"/>
      <c r="X18" s="11"/>
      <c r="Y18" s="11"/>
      <c r="Z18" s="11"/>
      <c r="AA18" s="11"/>
      <c r="AB18" s="11"/>
      <c r="AC18" s="26">
        <v>5</v>
      </c>
      <c r="AD18" s="11">
        <v>30</v>
      </c>
      <c r="AE18" s="11"/>
      <c r="AF18" s="11">
        <v>70</v>
      </c>
      <c r="AG18" s="12"/>
      <c r="AH18" s="10"/>
      <c r="AI18" s="11"/>
      <c r="AJ18" s="11"/>
      <c r="AK18" s="11"/>
      <c r="AL18" s="11"/>
      <c r="AM18" s="11"/>
      <c r="AN18" s="11"/>
      <c r="AO18" s="26">
        <v>0</v>
      </c>
      <c r="AP18" s="11">
        <v>10</v>
      </c>
      <c r="AQ18" s="11"/>
      <c r="AR18" s="11">
        <v>25</v>
      </c>
      <c r="AS18" s="13"/>
    </row>
    <row r="19" spans="3:45" ht="16.5" thickTop="1" x14ac:dyDescent="0.25">
      <c r="E19"/>
      <c r="F19"/>
    </row>
    <row r="20" spans="3:45" x14ac:dyDescent="0.25">
      <c r="E20"/>
      <c r="F20"/>
    </row>
    <row r="21" spans="3:45" x14ac:dyDescent="0.25">
      <c r="E21"/>
      <c r="F21"/>
    </row>
    <row r="22" spans="3:45" x14ac:dyDescent="0.25">
      <c r="E22"/>
      <c r="F22"/>
    </row>
    <row r="23" spans="3:45" ht="28.5" x14ac:dyDescent="0.45">
      <c r="D23" s="81">
        <v>0.15</v>
      </c>
      <c r="E23" s="82">
        <v>0.3</v>
      </c>
      <c r="F23" s="82">
        <v>0.6</v>
      </c>
      <c r="G23" s="81">
        <v>1.18</v>
      </c>
      <c r="H23" s="81">
        <v>2.36</v>
      </c>
      <c r="I23" s="81">
        <v>4.75</v>
      </c>
      <c r="J23" s="81">
        <v>9.5</v>
      </c>
    </row>
    <row r="24" spans="3:45" ht="28.5" x14ac:dyDescent="0.45">
      <c r="D24" s="81">
        <v>15</v>
      </c>
      <c r="E24" s="82">
        <v>40</v>
      </c>
      <c r="F24" s="82">
        <v>54</v>
      </c>
      <c r="G24" s="81">
        <v>90</v>
      </c>
      <c r="H24" s="81">
        <v>100</v>
      </c>
      <c r="I24" s="81">
        <v>100</v>
      </c>
      <c r="J24" s="81">
        <v>100</v>
      </c>
      <c r="K24" s="145" t="s">
        <v>61</v>
      </c>
      <c r="L24" s="146"/>
    </row>
    <row r="25" spans="3:45" ht="29.25" thickBot="1" x14ac:dyDescent="0.5">
      <c r="D25" s="81">
        <v>0</v>
      </c>
      <c r="E25" s="82">
        <v>5</v>
      </c>
      <c r="F25" s="82">
        <v>15</v>
      </c>
      <c r="G25" s="81">
        <v>30</v>
      </c>
      <c r="H25" s="81">
        <v>60</v>
      </c>
      <c r="I25" s="81">
        <v>89</v>
      </c>
      <c r="J25" s="81">
        <v>100</v>
      </c>
      <c r="K25" s="147" t="s">
        <v>37</v>
      </c>
      <c r="L25" s="148"/>
    </row>
    <row r="26" spans="3:45" ht="16.5" thickTop="1" x14ac:dyDescent="0.25">
      <c r="E26"/>
      <c r="F26"/>
    </row>
    <row r="27" spans="3:45" x14ac:dyDescent="0.25">
      <c r="E27"/>
      <c r="F27"/>
    </row>
    <row r="28" spans="3:45" x14ac:dyDescent="0.25">
      <c r="E28"/>
      <c r="F28"/>
    </row>
    <row r="29" spans="3:45" ht="16.5" thickBot="1" x14ac:dyDescent="0.3">
      <c r="E29"/>
      <c r="F29"/>
    </row>
    <row r="30" spans="3:45" ht="48" thickTop="1" thickBot="1" x14ac:dyDescent="0.3">
      <c r="E30"/>
      <c r="F30" s="83" t="s">
        <v>55</v>
      </c>
      <c r="G30" s="83" t="s">
        <v>37</v>
      </c>
    </row>
    <row r="31" spans="3:45" ht="26.25" x14ac:dyDescent="0.4">
      <c r="D31" s="79"/>
      <c r="E31" s="80">
        <v>9.5</v>
      </c>
      <c r="F31" s="80">
        <v>100</v>
      </c>
      <c r="G31" s="79">
        <v>100</v>
      </c>
      <c r="I31" s="1">
        <f>G31-J25</f>
        <v>0</v>
      </c>
    </row>
    <row r="32" spans="3:45" ht="26.25" x14ac:dyDescent="0.4">
      <c r="D32" s="79"/>
      <c r="E32" s="80">
        <v>4.75</v>
      </c>
      <c r="F32" s="80">
        <v>89</v>
      </c>
      <c r="G32" s="79">
        <v>100</v>
      </c>
    </row>
    <row r="33" spans="4:7" ht="26.25" x14ac:dyDescent="0.4">
      <c r="D33" s="79"/>
      <c r="E33" s="80">
        <v>2.36</v>
      </c>
      <c r="F33" s="80">
        <v>60</v>
      </c>
      <c r="G33" s="79">
        <v>100</v>
      </c>
    </row>
    <row r="34" spans="4:7" ht="26.25" x14ac:dyDescent="0.4">
      <c r="D34" s="79"/>
      <c r="E34" s="80">
        <v>1.18</v>
      </c>
      <c r="F34" s="80">
        <v>30</v>
      </c>
      <c r="G34" s="79">
        <v>90</v>
      </c>
    </row>
    <row r="35" spans="4:7" ht="26.25" x14ac:dyDescent="0.4">
      <c r="D35" s="79"/>
      <c r="E35" s="80">
        <v>0.6</v>
      </c>
      <c r="F35" s="80">
        <v>15</v>
      </c>
      <c r="G35" s="79">
        <v>54</v>
      </c>
    </row>
    <row r="36" spans="4:7" ht="26.25" x14ac:dyDescent="0.4">
      <c r="D36" s="79"/>
      <c r="E36" s="80">
        <v>0.3</v>
      </c>
      <c r="F36" s="80">
        <v>5</v>
      </c>
      <c r="G36" s="79">
        <v>40</v>
      </c>
    </row>
    <row r="37" spans="4:7" ht="26.25" x14ac:dyDescent="0.4">
      <c r="D37" s="79"/>
      <c r="E37" s="80">
        <v>0.125</v>
      </c>
      <c r="F37" s="80">
        <v>8</v>
      </c>
      <c r="G37" s="79">
        <v>15</v>
      </c>
    </row>
    <row r="38" spans="4:7" ht="26.25" x14ac:dyDescent="0.4">
      <c r="D38" s="79"/>
      <c r="E38" s="80">
        <v>7.4999999999999997E-2</v>
      </c>
      <c r="F38" s="80">
        <v>4</v>
      </c>
      <c r="G38" s="79">
        <v>5</v>
      </c>
    </row>
    <row r="39" spans="4:7" ht="26.25" x14ac:dyDescent="0.4">
      <c r="D39" s="79"/>
      <c r="E39" s="80">
        <v>3.2000000000000001E-2</v>
      </c>
      <c r="F39" s="80">
        <v>0</v>
      </c>
      <c r="G39" s="79">
        <v>2</v>
      </c>
    </row>
    <row r="40" spans="4:7" x14ac:dyDescent="0.25">
      <c r="E40"/>
      <c r="F40"/>
    </row>
    <row r="41" spans="4:7" x14ac:dyDescent="0.25">
      <c r="E41"/>
      <c r="F41"/>
    </row>
    <row r="42" spans="4:7" x14ac:dyDescent="0.25">
      <c r="E42"/>
      <c r="F42"/>
    </row>
    <row r="43" spans="4:7" x14ac:dyDescent="0.25">
      <c r="E43"/>
      <c r="F43"/>
    </row>
    <row r="44" spans="4:7" x14ac:dyDescent="0.25">
      <c r="E44"/>
      <c r="F44"/>
    </row>
    <row r="45" spans="4:7" x14ac:dyDescent="0.25">
      <c r="E45"/>
      <c r="F45"/>
    </row>
    <row r="46" spans="4:7" x14ac:dyDescent="0.25">
      <c r="E46"/>
      <c r="F46"/>
    </row>
    <row r="47" spans="4:7" x14ac:dyDescent="0.25">
      <c r="E47"/>
      <c r="F47"/>
    </row>
    <row r="48" spans="4:7" x14ac:dyDescent="0.25">
      <c r="E48"/>
      <c r="F48"/>
    </row>
    <row r="49" spans="5:6" x14ac:dyDescent="0.25">
      <c r="E49"/>
      <c r="F49"/>
    </row>
  </sheetData>
  <mergeCells count="8">
    <mergeCell ref="AH2:AS2"/>
    <mergeCell ref="K24:L24"/>
    <mergeCell ref="K25:L25"/>
    <mergeCell ref="C18:E18"/>
    <mergeCell ref="B2:D2"/>
    <mergeCell ref="E2:F2"/>
    <mergeCell ref="J2:U2"/>
    <mergeCell ref="V2:AG2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شن و ماسه</vt:lpstr>
      <vt:lpstr>محور ها</vt:lpstr>
      <vt:lpstr>'شن و ماسه'!Print_Area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3121-911</dc:creator>
  <cp:lastModifiedBy>3121-911</cp:lastModifiedBy>
  <cp:lastPrinted>2025-07-12T17:00:04Z</cp:lastPrinted>
  <dcterms:created xsi:type="dcterms:W3CDTF">2015-06-05T18:17:20Z</dcterms:created>
  <dcterms:modified xsi:type="dcterms:W3CDTF">2025-07-21T15:35:05Z</dcterms:modified>
</cp:coreProperties>
</file>